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fileSharing readOnlyRecommended="1" userName="hries" reservationPassword="E7E3"/>
  <workbookPr codeName="DieseArbeitsmappe" defaultThemeVersion="124226"/>
  <bookViews>
    <workbookView xWindow="0" yWindow="60" windowWidth="19440" windowHeight="12255" firstSheet="5" activeTab="10"/>
  </bookViews>
  <sheets>
    <sheet name="Legende" sheetId="9" r:id="rId1"/>
    <sheet name="Anlagen" sheetId="1" r:id="rId2"/>
    <sheet name="KA" sheetId="2" r:id="rId3"/>
    <sheet name="KST" sheetId="13" r:id="rId4"/>
    <sheet name="KT" sheetId="15" r:id="rId5"/>
    <sheet name="Vorlage" sheetId="16" r:id="rId6"/>
    <sheet name="Mengenschlüssel" sheetId="3" r:id="rId7"/>
    <sheet name="Indices" sheetId="6" r:id="rId8"/>
    <sheet name="Berechnung qm" sheetId="17" r:id="rId9"/>
    <sheet name="Berechnung Personal" sheetId="19" r:id="rId10"/>
    <sheet name="Korrektur Dieselkosten" sheetId="20" r:id="rId11"/>
  </sheets>
  <definedNames>
    <definedName name="_xlnm._FilterDatabase" localSheetId="1" hidden="1">Anlagen!$A$1:$U$103</definedName>
    <definedName name="_xlnm.Print_Area" localSheetId="1">Anlagen!$A$1:$U$129</definedName>
    <definedName name="_xlnm.Print_Area" localSheetId="2">KA!$A$1:$I$48</definedName>
    <definedName name="_xlnm.Print_Area" localSheetId="3">KST!$A$1:$L$68</definedName>
    <definedName name="_xlnm.Print_Area" localSheetId="0">Legende!$A$1:$B$20</definedName>
    <definedName name="_xlnm.Print_Area" localSheetId="6">Mengenschlüssel!$A$1:$I$22</definedName>
    <definedName name="_xlnm.Extract" localSheetId="1">Anlagen!#REF!</definedName>
  </definedNames>
  <calcPr calcId="125725"/>
</workbook>
</file>

<file path=xl/calcChain.xml><?xml version="1.0" encoding="utf-8"?>
<calcChain xmlns="http://schemas.openxmlformats.org/spreadsheetml/2006/main">
  <c r="C18" i="16"/>
  <c r="G8" i="20"/>
  <c r="B8" s="1"/>
  <c r="D8"/>
  <c r="H23"/>
  <c r="A13" i="15" l="1"/>
  <c r="B4" i="17"/>
  <c r="B21"/>
  <c r="F2"/>
  <c r="E2"/>
  <c r="H16"/>
  <c r="I15"/>
  <c r="I25" l="1"/>
  <c r="H24"/>
  <c r="B23"/>
  <c r="G26" s="1"/>
  <c r="J25" s="1"/>
  <c r="P16" i="15"/>
  <c r="B17" i="16" s="1"/>
  <c r="P17" i="15"/>
  <c r="B18" i="16" s="1"/>
  <c r="J24" i="17" l="1"/>
  <c r="K116" i="1"/>
  <c r="K117"/>
  <c r="K118"/>
  <c r="K119"/>
  <c r="K120"/>
  <c r="Q120" s="1"/>
  <c r="K121"/>
  <c r="R121" s="1"/>
  <c r="K122"/>
  <c r="K123"/>
  <c r="K124"/>
  <c r="K125"/>
  <c r="K126"/>
  <c r="K127"/>
  <c r="A6" i="15"/>
  <c r="A7"/>
  <c r="A8"/>
  <c r="A9"/>
  <c r="A10"/>
  <c r="A11"/>
  <c r="J31" i="1"/>
  <c r="J30"/>
  <c r="G30"/>
  <c r="G31"/>
  <c r="D7" i="20"/>
  <c r="D2"/>
  <c r="E21"/>
  <c r="E20"/>
  <c r="E19"/>
  <c r="D23"/>
  <c r="G23"/>
  <c r="G7" s="1"/>
  <c r="F23"/>
  <c r="G2" s="1"/>
  <c r="C23"/>
  <c r="E24" s="1"/>
  <c r="G10" s="1"/>
  <c r="B23"/>
  <c r="D22"/>
  <c r="G22"/>
  <c r="F22"/>
  <c r="C22"/>
  <c r="B22"/>
  <c r="E22" l="1"/>
  <c r="Q121" i="1"/>
  <c r="P121"/>
  <c r="C11" i="15" s="1"/>
  <c r="L121" i="1"/>
  <c r="B11" i="15" s="1"/>
  <c r="B7" i="20"/>
  <c r="B2"/>
  <c r="J23" i="17"/>
  <c r="E24" s="1"/>
  <c r="E6" s="1"/>
  <c r="N121" i="1"/>
  <c r="M121"/>
  <c r="R120"/>
  <c r="M120"/>
  <c r="P120"/>
  <c r="C10" i="15" s="1"/>
  <c r="L120" i="1"/>
  <c r="B10" i="15" s="1"/>
  <c r="N120" i="1"/>
  <c r="L31"/>
  <c r="L30"/>
  <c r="D10" i="20"/>
  <c r="C35" i="13"/>
  <c r="G11" i="15" l="1"/>
  <c r="I11" s="1"/>
  <c r="E25" i="17"/>
  <c r="F6" s="1"/>
  <c r="B6"/>
  <c r="G10" i="15"/>
  <c r="I10" s="1"/>
  <c r="B10" i="20"/>
  <c r="A22" i="16"/>
  <c r="A23"/>
  <c r="A24"/>
  <c r="J24" i="15"/>
  <c r="B22" i="16" s="1"/>
  <c r="J25" i="15"/>
  <c r="B23" i="16" s="1"/>
  <c r="J26" i="15"/>
  <c r="B24" i="16" s="1"/>
  <c r="D24" s="1"/>
  <c r="E24" s="1"/>
  <c r="J23" i="15"/>
  <c r="K25" i="19"/>
  <c r="H25"/>
  <c r="D39"/>
  <c r="G44" i="13"/>
  <c r="H44"/>
  <c r="I44"/>
  <c r="J44"/>
  <c r="G46"/>
  <c r="H46"/>
  <c r="I46"/>
  <c r="J46"/>
  <c r="A5"/>
  <c r="B5"/>
  <c r="C5"/>
  <c r="A6"/>
  <c r="B6"/>
  <c r="C6"/>
  <c r="A7"/>
  <c r="B7"/>
  <c r="C7"/>
  <c r="A8"/>
  <c r="B8"/>
  <c r="C8"/>
  <c r="A9"/>
  <c r="B9"/>
  <c r="C9"/>
  <c r="A10"/>
  <c r="B10"/>
  <c r="C10"/>
  <c r="A11"/>
  <c r="B11"/>
  <c r="C11"/>
  <c r="A12"/>
  <c r="B12"/>
  <c r="C12"/>
  <c r="A13"/>
  <c r="B13"/>
  <c r="C13"/>
  <c r="A14"/>
  <c r="B14"/>
  <c r="C14"/>
  <c r="A15"/>
  <c r="B15"/>
  <c r="C15"/>
  <c r="A16"/>
  <c r="B16"/>
  <c r="C16"/>
  <c r="A17"/>
  <c r="B17"/>
  <c r="C17"/>
  <c r="A18"/>
  <c r="B18"/>
  <c r="C18"/>
  <c r="A19"/>
  <c r="B19"/>
  <c r="C19"/>
  <c r="A20"/>
  <c r="B20"/>
  <c r="C20"/>
  <c r="A21"/>
  <c r="B21"/>
  <c r="C21"/>
  <c r="A22"/>
  <c r="B22"/>
  <c r="C22"/>
  <c r="A23"/>
  <c r="B23"/>
  <c r="C23"/>
  <c r="A24"/>
  <c r="B24"/>
  <c r="C24"/>
  <c r="A25"/>
  <c r="B25"/>
  <c r="C25"/>
  <c r="A26"/>
  <c r="B26"/>
  <c r="C26"/>
  <c r="A27"/>
  <c r="B27"/>
  <c r="C27"/>
  <c r="A28"/>
  <c r="B28"/>
  <c r="C28"/>
  <c r="A29"/>
  <c r="B29"/>
  <c r="C29"/>
  <c r="A30"/>
  <c r="B30"/>
  <c r="C30"/>
  <c r="A31"/>
  <c r="B31"/>
  <c r="C31"/>
  <c r="A32"/>
  <c r="B32"/>
  <c r="C32"/>
  <c r="A33"/>
  <c r="B33"/>
  <c r="C33"/>
  <c r="A34"/>
  <c r="B34"/>
  <c r="C34"/>
  <c r="A35"/>
  <c r="B35"/>
  <c r="A36"/>
  <c r="B36"/>
  <c r="C36"/>
  <c r="A37"/>
  <c r="B37"/>
  <c r="C37"/>
  <c r="A38"/>
  <c r="B38"/>
  <c r="C38"/>
  <c r="A39"/>
  <c r="B39"/>
  <c r="C39"/>
  <c r="A40"/>
  <c r="B40"/>
  <c r="C40"/>
  <c r="A41"/>
  <c r="B41"/>
  <c r="C41"/>
  <c r="A42"/>
  <c r="B42"/>
  <c r="C42"/>
  <c r="A43"/>
  <c r="B43"/>
  <c r="C43"/>
  <c r="A44"/>
  <c r="B44"/>
  <c r="C44"/>
  <c r="A45"/>
  <c r="B45"/>
  <c r="C45"/>
  <c r="A46"/>
  <c r="B46"/>
  <c r="C46"/>
  <c r="F43" i="2"/>
  <c r="J33" i="19"/>
  <c r="B25" i="15" s="1"/>
  <c r="N14" i="19"/>
  <c r="K28"/>
  <c r="P7"/>
  <c r="P8"/>
  <c r="P9"/>
  <c r="P6"/>
  <c r="H28"/>
  <c r="M13"/>
  <c r="L13"/>
  <c r="K21"/>
  <c r="K20"/>
  <c r="K19"/>
  <c r="L18"/>
  <c r="L5"/>
  <c r="K7"/>
  <c r="K6"/>
  <c r="L6" s="1"/>
  <c r="I9"/>
  <c r="K9" s="1"/>
  <c r="I8"/>
  <c r="K8" s="1"/>
  <c r="L8" s="1"/>
  <c r="I14"/>
  <c r="K14" s="1"/>
  <c r="L14" s="1"/>
  <c r="E13" i="20"/>
  <c r="E12"/>
  <c r="E11"/>
  <c r="E10"/>
  <c r="E9"/>
  <c r="E8"/>
  <c r="E7"/>
  <c r="E6"/>
  <c r="E5"/>
  <c r="E4"/>
  <c r="E3"/>
  <c r="E2"/>
  <c r="H18" i="15"/>
  <c r="E18"/>
  <c r="B23"/>
  <c r="D42" i="19"/>
  <c r="B47"/>
  <c r="B48" s="1"/>
  <c r="B26"/>
  <c r="C5"/>
  <c r="C9" s="1"/>
  <c r="B33"/>
  <c r="C2" i="20" l="1"/>
  <c r="F2"/>
  <c r="F4" i="15" s="1"/>
  <c r="C10" i="20"/>
  <c r="F10"/>
  <c r="F14" i="15" s="1"/>
  <c r="C8" i="20"/>
  <c r="F8"/>
  <c r="C7"/>
  <c r="F7"/>
  <c r="F9" i="15" s="1"/>
  <c r="L19" i="19"/>
  <c r="L22" s="1"/>
  <c r="L20"/>
  <c r="M20" s="1"/>
  <c r="L9"/>
  <c r="M5"/>
  <c r="L21"/>
  <c r="M21" s="1"/>
  <c r="F12" i="15"/>
  <c r="F23" i="16"/>
  <c r="G23" s="1"/>
  <c r="D23"/>
  <c r="E23" s="1"/>
  <c r="D22"/>
  <c r="E22" s="1"/>
  <c r="F22"/>
  <c r="G22" s="1"/>
  <c r="F24"/>
  <c r="G24" s="1"/>
  <c r="K26" i="19"/>
  <c r="C25" i="15" s="1"/>
  <c r="K22" i="19"/>
  <c r="P10"/>
  <c r="G34" s="1"/>
  <c r="B24" i="15" s="1"/>
  <c r="B27" s="1"/>
  <c r="K10" i="19"/>
  <c r="L10" s="1"/>
  <c r="M6"/>
  <c r="L7"/>
  <c r="M18"/>
  <c r="M8"/>
  <c r="K46" i="13"/>
  <c r="K44"/>
  <c r="M9" i="19"/>
  <c r="N5"/>
  <c r="O5" s="1"/>
  <c r="M10"/>
  <c r="N6"/>
  <c r="O6" s="1"/>
  <c r="M14"/>
  <c r="M7"/>
  <c r="B34"/>
  <c r="C28"/>
  <c r="C22"/>
  <c r="C8"/>
  <c r="C32"/>
  <c r="C30"/>
  <c r="C27"/>
  <c r="C23"/>
  <c r="C17"/>
  <c r="C12"/>
  <c r="C10"/>
  <c r="C7"/>
  <c r="D5"/>
  <c r="E5" s="1"/>
  <c r="F5" s="1"/>
  <c r="C31"/>
  <c r="C21"/>
  <c r="C16"/>
  <c r="C14"/>
  <c r="D14" s="1"/>
  <c r="E14" s="1"/>
  <c r="F14" s="1"/>
  <c r="C11"/>
  <c r="C24"/>
  <c r="C19"/>
  <c r="C13"/>
  <c r="D13" s="1"/>
  <c r="E13" s="1"/>
  <c r="F13" s="1"/>
  <c r="C6"/>
  <c r="C29"/>
  <c r="C25"/>
  <c r="C20"/>
  <c r="D20" s="1"/>
  <c r="E20" s="1"/>
  <c r="F20" s="1"/>
  <c r="C18"/>
  <c r="C15"/>
  <c r="N8" l="1"/>
  <c r="O8" s="1"/>
  <c r="M19"/>
  <c r="N19" s="1"/>
  <c r="F18" i="15"/>
  <c r="C14" i="20"/>
  <c r="E31" i="2" s="1"/>
  <c r="K27" i="19"/>
  <c r="K29" s="1"/>
  <c r="K30"/>
  <c r="D25"/>
  <c r="E25" s="1"/>
  <c r="F25" s="1"/>
  <c r="D19"/>
  <c r="E19" s="1"/>
  <c r="F19" s="1"/>
  <c r="N9"/>
  <c r="O9" s="1"/>
  <c r="D15"/>
  <c r="E15" s="1"/>
  <c r="F15" s="1"/>
  <c r="D21"/>
  <c r="E21" s="1"/>
  <c r="F21" s="1"/>
  <c r="D29"/>
  <c r="E29" s="1"/>
  <c r="F29" s="1"/>
  <c r="D24"/>
  <c r="E24" s="1"/>
  <c r="F24" s="1"/>
  <c r="D10"/>
  <c r="E10" s="1"/>
  <c r="F10" s="1"/>
  <c r="D22"/>
  <c r="E22" s="1"/>
  <c r="F22" s="1"/>
  <c r="N7"/>
  <c r="O7" s="1"/>
  <c r="N10"/>
  <c r="O10" s="1"/>
  <c r="N20"/>
  <c r="O20" s="1"/>
  <c r="N18"/>
  <c r="N21"/>
  <c r="O21" s="1"/>
  <c r="M22"/>
  <c r="D16"/>
  <c r="E16" s="1"/>
  <c r="F16" s="1"/>
  <c r="D7"/>
  <c r="E7" s="1"/>
  <c r="F7" s="1"/>
  <c r="D23"/>
  <c r="E23" s="1"/>
  <c r="F23" s="1"/>
  <c r="D27"/>
  <c r="C33"/>
  <c r="D18"/>
  <c r="E18" s="1"/>
  <c r="F18" s="1"/>
  <c r="D6"/>
  <c r="C26"/>
  <c r="D11"/>
  <c r="E11" s="1"/>
  <c r="F11" s="1"/>
  <c r="D31"/>
  <c r="E31" s="1"/>
  <c r="F31" s="1"/>
  <c r="D12"/>
  <c r="E12" s="1"/>
  <c r="F12" s="1"/>
  <c r="D30"/>
  <c r="E30" s="1"/>
  <c r="F30" s="1"/>
  <c r="D28"/>
  <c r="E28" s="1"/>
  <c r="F28" s="1"/>
  <c r="D17"/>
  <c r="E17" s="1"/>
  <c r="F17" s="1"/>
  <c r="D32"/>
  <c r="E32" s="1"/>
  <c r="F32" s="1"/>
  <c r="D8"/>
  <c r="E8" s="1"/>
  <c r="F8" s="1"/>
  <c r="D9"/>
  <c r="E9" s="1"/>
  <c r="F9" s="1"/>
  <c r="K31" l="1"/>
  <c r="K35" s="1"/>
  <c r="H26"/>
  <c r="C24" i="15" s="1"/>
  <c r="O19" i="19"/>
  <c r="O22" s="1"/>
  <c r="N22"/>
  <c r="O18"/>
  <c r="E27"/>
  <c r="D33"/>
  <c r="E6"/>
  <c r="D26"/>
  <c r="C34"/>
  <c r="H30" l="1"/>
  <c r="H27"/>
  <c r="H29" s="1"/>
  <c r="D34"/>
  <c r="E26"/>
  <c r="F6"/>
  <c r="F26" s="1"/>
  <c r="E33"/>
  <c r="E34" s="1"/>
  <c r="D40" s="1"/>
  <c r="F27"/>
  <c r="F33" s="1"/>
  <c r="H31" l="1"/>
  <c r="H35" s="1"/>
  <c r="C23" i="15"/>
  <c r="D41" i="19"/>
  <c r="D43" s="1"/>
  <c r="D44"/>
  <c r="F34"/>
  <c r="D45" l="1"/>
  <c r="D49" s="1"/>
  <c r="H82" i="1" l="1"/>
  <c r="J82" s="1"/>
  <c r="L64"/>
  <c r="L65"/>
  <c r="L66"/>
  <c r="L67"/>
  <c r="L68"/>
  <c r="L69"/>
  <c r="L70"/>
  <c r="L71"/>
  <c r="L72"/>
  <c r="L77"/>
  <c r="L79"/>
  <c r="L80"/>
  <c r="L81"/>
  <c r="L83"/>
  <c r="L84"/>
  <c r="L85"/>
  <c r="L86"/>
  <c r="L10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2"/>
  <c r="G33"/>
  <c r="G34"/>
  <c r="L34" s="1"/>
  <c r="G35"/>
  <c r="G36"/>
  <c r="G37"/>
  <c r="G38"/>
  <c r="G39"/>
  <c r="G40"/>
  <c r="G41"/>
  <c r="G42"/>
  <c r="G43"/>
  <c r="G44"/>
  <c r="G45"/>
  <c r="G46"/>
  <c r="G47"/>
  <c r="G48"/>
  <c r="G49"/>
  <c r="G50"/>
  <c r="L50" s="1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L73" s="1"/>
  <c r="G74"/>
  <c r="L74" s="1"/>
  <c r="G75"/>
  <c r="G76"/>
  <c r="L76" s="1"/>
  <c r="G77"/>
  <c r="G78"/>
  <c r="G79"/>
  <c r="G80"/>
  <c r="G81"/>
  <c r="G82"/>
  <c r="L82" s="1"/>
  <c r="G83"/>
  <c r="G84"/>
  <c r="G85"/>
  <c r="G86"/>
  <c r="G87"/>
  <c r="G88"/>
  <c r="G89"/>
  <c r="G90"/>
  <c r="G91"/>
  <c r="G92"/>
  <c r="L92" s="1"/>
  <c r="G93"/>
  <c r="G94"/>
  <c r="G95"/>
  <c r="G96"/>
  <c r="L96" s="1"/>
  <c r="G97"/>
  <c r="G98"/>
  <c r="G99"/>
  <c r="G100"/>
  <c r="L100" s="1"/>
  <c r="G101"/>
  <c r="G102"/>
  <c r="G103"/>
  <c r="H89"/>
  <c r="H90"/>
  <c r="J90" s="1"/>
  <c r="L90" s="1"/>
  <c r="H91"/>
  <c r="J91" s="1"/>
  <c r="H92"/>
  <c r="J92" s="1"/>
  <c r="H93"/>
  <c r="J93" s="1"/>
  <c r="H94"/>
  <c r="J94" s="1"/>
  <c r="L94" s="1"/>
  <c r="H95"/>
  <c r="J95" s="1"/>
  <c r="H96"/>
  <c r="J96" s="1"/>
  <c r="H97"/>
  <c r="J97" s="1"/>
  <c r="H98"/>
  <c r="J98" s="1"/>
  <c r="L98" s="1"/>
  <c r="H99"/>
  <c r="H100"/>
  <c r="J100" s="1"/>
  <c r="H101"/>
  <c r="J101" s="1"/>
  <c r="H88"/>
  <c r="J88" s="1"/>
  <c r="H70"/>
  <c r="J70" s="1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1"/>
  <c r="J72"/>
  <c r="J73"/>
  <c r="J74"/>
  <c r="J75"/>
  <c r="L75" s="1"/>
  <c r="J76"/>
  <c r="J77"/>
  <c r="J78"/>
  <c r="J79"/>
  <c r="J80"/>
  <c r="J81"/>
  <c r="J83"/>
  <c r="J84"/>
  <c r="J85"/>
  <c r="J86"/>
  <c r="J87"/>
  <c r="J89"/>
  <c r="J99"/>
  <c r="J102"/>
  <c r="J103"/>
  <c r="J2"/>
  <c r="K110"/>
  <c r="K111"/>
  <c r="K112"/>
  <c r="K114"/>
  <c r="K115"/>
  <c r="B3" i="3"/>
  <c r="C3"/>
  <c r="B4"/>
  <c r="C4"/>
  <c r="B5"/>
  <c r="H1" s="1"/>
  <c r="C5"/>
  <c r="L88" i="1" l="1"/>
  <c r="L101"/>
  <c r="L93"/>
  <c r="L78"/>
  <c r="L16"/>
  <c r="L4"/>
  <c r="L97"/>
  <c r="L89"/>
  <c r="L103"/>
  <c r="L99"/>
  <c r="L87"/>
  <c r="L95"/>
  <c r="L91"/>
  <c r="L46"/>
  <c r="L28"/>
  <c r="L8"/>
  <c r="L54"/>
  <c r="L38"/>
  <c r="L20"/>
  <c r="L12"/>
  <c r="L62"/>
  <c r="L58"/>
  <c r="L42"/>
  <c r="L24"/>
  <c r="L60"/>
  <c r="L56"/>
  <c r="L52"/>
  <c r="L48"/>
  <c r="L44"/>
  <c r="L40"/>
  <c r="L36"/>
  <c r="L32"/>
  <c r="L26"/>
  <c r="L22"/>
  <c r="L18"/>
  <c r="L14"/>
  <c r="L10"/>
  <c r="L6"/>
  <c r="L63"/>
  <c r="L61"/>
  <c r="L59"/>
  <c r="L57"/>
  <c r="L55"/>
  <c r="L53"/>
  <c r="L51"/>
  <c r="L49"/>
  <c r="L47"/>
  <c r="L45"/>
  <c r="L43"/>
  <c r="L41"/>
  <c r="L39"/>
  <c r="L37"/>
  <c r="L35"/>
  <c r="L33"/>
  <c r="L123" s="1"/>
  <c r="B13" i="15" s="1"/>
  <c r="L29" i="1"/>
  <c r="L27"/>
  <c r="L25"/>
  <c r="L23"/>
  <c r="L21"/>
  <c r="L19"/>
  <c r="L17"/>
  <c r="L15"/>
  <c r="L13"/>
  <c r="L11"/>
  <c r="L9"/>
  <c r="L7"/>
  <c r="L5"/>
  <c r="L3"/>
  <c r="L112"/>
  <c r="L127"/>
  <c r="B17" i="15" s="1"/>
  <c r="L111" i="1" l="1"/>
  <c r="L119"/>
  <c r="B9" i="15" s="1"/>
  <c r="L125" i="1"/>
  <c r="B15" i="15" s="1"/>
  <c r="L126" i="1"/>
  <c r="B16" i="15" s="1"/>
  <c r="L114" i="1"/>
  <c r="L118"/>
  <c r="B8" i="15" s="1"/>
  <c r="L115" i="1"/>
  <c r="L122"/>
  <c r="B12" i="15" s="1"/>
  <c r="L116" i="1"/>
  <c r="B6" i="15" s="1"/>
  <c r="B7" i="17"/>
  <c r="D3"/>
  <c r="E3" s="1"/>
  <c r="B2"/>
  <c r="D2" s="1"/>
  <c r="I2" l="1"/>
  <c r="H2"/>
  <c r="F3"/>
  <c r="I3" s="1"/>
  <c r="D6"/>
  <c r="D5"/>
  <c r="L124" i="1"/>
  <c r="B14" i="15" s="1"/>
  <c r="L117" i="1"/>
  <c r="B7" i="15" s="1"/>
  <c r="G7" i="13"/>
  <c r="H7"/>
  <c r="I7"/>
  <c r="J7"/>
  <c r="G8"/>
  <c r="H8"/>
  <c r="I8"/>
  <c r="J8"/>
  <c r="G9"/>
  <c r="H9"/>
  <c r="I9"/>
  <c r="J9"/>
  <c r="G10"/>
  <c r="H10"/>
  <c r="I10"/>
  <c r="J10"/>
  <c r="G11"/>
  <c r="H11"/>
  <c r="I11"/>
  <c r="J11"/>
  <c r="G12"/>
  <c r="H12"/>
  <c r="I12"/>
  <c r="J12"/>
  <c r="G13"/>
  <c r="H13"/>
  <c r="I13"/>
  <c r="J13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4"/>
  <c r="H24"/>
  <c r="I24"/>
  <c r="J24"/>
  <c r="G40"/>
  <c r="H40"/>
  <c r="I40"/>
  <c r="J40"/>
  <c r="B4"/>
  <c r="C4"/>
  <c r="J2" i="17" l="1"/>
  <c r="D7"/>
  <c r="D8" s="1"/>
  <c r="C8" s="1"/>
  <c r="I6"/>
  <c r="I8" s="1"/>
  <c r="H58" i="13" s="1"/>
  <c r="H3" i="17"/>
  <c r="K19" i="13"/>
  <c r="K17"/>
  <c r="K11"/>
  <c r="K40"/>
  <c r="K24"/>
  <c r="K16"/>
  <c r="K12"/>
  <c r="K10"/>
  <c r="K15"/>
  <c r="K13"/>
  <c r="K9"/>
  <c r="K7"/>
  <c r="K20"/>
  <c r="K18"/>
  <c r="K14"/>
  <c r="K8"/>
  <c r="J3" i="17" l="1"/>
  <c r="E32" i="2"/>
  <c r="E30"/>
  <c r="F3"/>
  <c r="F4"/>
  <c r="F5"/>
  <c r="F6"/>
  <c r="F7"/>
  <c r="F8"/>
  <c r="F9"/>
  <c r="F10"/>
  <c r="F11"/>
  <c r="F12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4"/>
  <c r="A5" i="15" l="1"/>
  <c r="P5"/>
  <c r="B6" i="16" s="1"/>
  <c r="P6" i="15"/>
  <c r="B7" i="16" s="1"/>
  <c r="P7" i="15"/>
  <c r="B8" i="16" s="1"/>
  <c r="P8" i="15"/>
  <c r="B9" i="16" s="1"/>
  <c r="P9" i="15"/>
  <c r="B10" i="16" s="1"/>
  <c r="A12" i="15"/>
  <c r="P10"/>
  <c r="B11" i="16" s="1"/>
  <c r="F11" s="1"/>
  <c r="P11" i="15"/>
  <c r="B12" i="16" s="1"/>
  <c r="F12" s="1"/>
  <c r="A14" i="15"/>
  <c r="P12"/>
  <c r="B13" i="16" s="1"/>
  <c r="A15" i="15"/>
  <c r="P13"/>
  <c r="B14" i="16" s="1"/>
  <c r="A16" i="15"/>
  <c r="P14"/>
  <c r="B15" i="16" s="1"/>
  <c r="A17" i="15"/>
  <c r="P15"/>
  <c r="B16" i="16" s="1"/>
  <c r="D18" l="1"/>
  <c r="E15"/>
  <c r="D13"/>
  <c r="F9"/>
  <c r="G9" s="1"/>
  <c r="D7"/>
  <c r="A17"/>
  <c r="A12" i="20"/>
  <c r="A15" i="16"/>
  <c r="A10" i="20"/>
  <c r="A13" i="16"/>
  <c r="A8" i="20"/>
  <c r="A9" i="16"/>
  <c r="A6" i="20"/>
  <c r="A7" i="16"/>
  <c r="A4" i="20"/>
  <c r="A18" i="16"/>
  <c r="A13" i="20"/>
  <c r="A16" i="16"/>
  <c r="A11" i="20"/>
  <c r="A14" i="16"/>
  <c r="A9" i="20"/>
  <c r="A10" i="16"/>
  <c r="A7" i="20"/>
  <c r="A8" i="16"/>
  <c r="A5" i="20"/>
  <c r="A6" i="16"/>
  <c r="A3" i="20"/>
  <c r="D14" i="16"/>
  <c r="E14"/>
  <c r="F14"/>
  <c r="G14" s="1"/>
  <c r="D10"/>
  <c r="E10"/>
  <c r="F10"/>
  <c r="G10" s="1"/>
  <c r="D8"/>
  <c r="E8"/>
  <c r="F8"/>
  <c r="G8" s="1"/>
  <c r="D6"/>
  <c r="E6"/>
  <c r="F6"/>
  <c r="G6" s="1"/>
  <c r="D17"/>
  <c r="E17"/>
  <c r="F17"/>
  <c r="G17" s="1"/>
  <c r="D16"/>
  <c r="E16"/>
  <c r="F16"/>
  <c r="G16" s="1"/>
  <c r="B21"/>
  <c r="P4" i="15"/>
  <c r="B5" i="16" s="1"/>
  <c r="F1" i="13"/>
  <c r="A4" i="15"/>
  <c r="A2" i="20" s="1"/>
  <c r="A13" i="3"/>
  <c r="A22"/>
  <c r="B22"/>
  <c r="C22"/>
  <c r="D22"/>
  <c r="A14"/>
  <c r="D14"/>
  <c r="A15"/>
  <c r="D15"/>
  <c r="A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D13"/>
  <c r="A4" i="13"/>
  <c r="J6" i="6"/>
  <c r="K6"/>
  <c r="L6"/>
  <c r="J7"/>
  <c r="J8" s="1"/>
  <c r="K7"/>
  <c r="L7"/>
  <c r="L8" s="1"/>
  <c r="K8"/>
  <c r="H8"/>
  <c r="H14"/>
  <c r="H16" s="1"/>
  <c r="F2" i="2"/>
  <c r="K109" i="1"/>
  <c r="E13" i="16" l="1"/>
  <c r="F18"/>
  <c r="G18" s="1"/>
  <c r="E18"/>
  <c r="F7"/>
  <c r="G7" s="1"/>
  <c r="F15"/>
  <c r="G15" s="1"/>
  <c r="E7"/>
  <c r="F13"/>
  <c r="G13" s="1"/>
  <c r="E9"/>
  <c r="D9"/>
  <c r="D15"/>
  <c r="G4" i="13"/>
  <c r="H4"/>
  <c r="J4"/>
  <c r="A21" i="16"/>
  <c r="A5"/>
  <c r="A47" i="13" l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L108" i="1"/>
  <c r="B5" i="15" l="1"/>
  <c r="B4"/>
  <c r="F50" i="13"/>
  <c r="I6" i="6"/>
  <c r="H6"/>
  <c r="B18" i="15" l="1"/>
  <c r="D18"/>
  <c r="F5" i="16"/>
  <c r="M3" i="15"/>
  <c r="G22" s="1"/>
  <c r="G5" i="16" l="1"/>
  <c r="D5"/>
  <c r="E5"/>
  <c r="D21"/>
  <c r="E21" s="1"/>
  <c r="F21"/>
  <c r="G21" l="1"/>
  <c r="K3" i="13" l="1"/>
  <c r="I3" i="3"/>
  <c r="I4"/>
  <c r="I5"/>
  <c r="I6"/>
  <c r="I7"/>
  <c r="I8"/>
  <c r="I9"/>
  <c r="I10"/>
  <c r="I11"/>
  <c r="G17" l="1"/>
  <c r="H17"/>
  <c r="E17"/>
  <c r="F17"/>
  <c r="G20"/>
  <c r="H20"/>
  <c r="E20"/>
  <c r="F20"/>
  <c r="G16"/>
  <c r="H16"/>
  <c r="E16"/>
  <c r="F16"/>
  <c r="G19"/>
  <c r="H19"/>
  <c r="E19"/>
  <c r="F19"/>
  <c r="G15"/>
  <c r="H15"/>
  <c r="E15"/>
  <c r="F15"/>
  <c r="G22"/>
  <c r="H22"/>
  <c r="E22"/>
  <c r="I22" s="1"/>
  <c r="F22"/>
  <c r="G18"/>
  <c r="H18"/>
  <c r="E18"/>
  <c r="F18"/>
  <c r="G14"/>
  <c r="H14"/>
  <c r="E14"/>
  <c r="F14"/>
  <c r="G21"/>
  <c r="H21"/>
  <c r="E21"/>
  <c r="I21" s="1"/>
  <c r="F21"/>
  <c r="G1" i="2"/>
  <c r="G2" l="1"/>
  <c r="F4" i="13" s="1"/>
  <c r="I4" s="1"/>
  <c r="K4" s="1"/>
  <c r="L4" s="1"/>
  <c r="G43" i="2"/>
  <c r="F45" i="13" s="1"/>
  <c r="I18" i="3"/>
  <c r="I15"/>
  <c r="I16"/>
  <c r="I20"/>
  <c r="I14"/>
  <c r="I19"/>
  <c r="I17"/>
  <c r="G28" i="2"/>
  <c r="F30" i="13" s="1"/>
  <c r="G27" i="2"/>
  <c r="F29" i="13" s="1"/>
  <c r="G11" i="2"/>
  <c r="F13" i="13" s="1"/>
  <c r="L13" s="1"/>
  <c r="G24" i="2"/>
  <c r="F26" i="13" s="1"/>
  <c r="G42" i="2"/>
  <c r="F44" i="13" s="1"/>
  <c r="L44" s="1"/>
  <c r="G26" i="2"/>
  <c r="F28" i="13" s="1"/>
  <c r="G10" i="2"/>
  <c r="F12" i="13" s="1"/>
  <c r="L12" s="1"/>
  <c r="G20" i="2"/>
  <c r="F22" i="13" s="1"/>
  <c r="G37" i="2"/>
  <c r="F39" i="13" s="1"/>
  <c r="G21" i="2"/>
  <c r="F23" i="13" s="1"/>
  <c r="G5" i="2"/>
  <c r="F7" i="13" s="1"/>
  <c r="L7" s="1"/>
  <c r="G25" i="2"/>
  <c r="F27" i="13" s="1"/>
  <c r="G16" i="2"/>
  <c r="F18" i="13" s="1"/>
  <c r="L18" s="1"/>
  <c r="G23" i="2"/>
  <c r="F25" i="13" s="1"/>
  <c r="G7" i="2"/>
  <c r="F9" i="13" s="1"/>
  <c r="L9" s="1"/>
  <c r="G12" i="2"/>
  <c r="F14" i="13" s="1"/>
  <c r="L14" s="1"/>
  <c r="G38" i="2"/>
  <c r="F40" i="13" s="1"/>
  <c r="L40" s="1"/>
  <c r="G22" i="2"/>
  <c r="F24" i="13" s="1"/>
  <c r="G6" i="2"/>
  <c r="F8" i="13" s="1"/>
  <c r="L8" s="1"/>
  <c r="G8" i="2"/>
  <c r="F10" i="13" s="1"/>
  <c r="L10" s="1"/>
  <c r="G33" i="2"/>
  <c r="F35" i="13" s="1"/>
  <c r="G17" i="2"/>
  <c r="F19" i="13" s="1"/>
  <c r="L19" s="1"/>
  <c r="G9" i="2"/>
  <c r="F11" i="13" s="1"/>
  <c r="L11" s="1"/>
  <c r="G39" i="2"/>
  <c r="F41" i="13" s="1"/>
  <c r="G19" i="2"/>
  <c r="F21" i="13" s="1"/>
  <c r="G3" i="2"/>
  <c r="F5" i="13" s="1"/>
  <c r="G4" i="2"/>
  <c r="F6" i="13" s="1"/>
  <c r="G34" i="2"/>
  <c r="F36" i="13" s="1"/>
  <c r="G18" i="2"/>
  <c r="F20" i="13" s="1"/>
  <c r="L20" s="1"/>
  <c r="G40" i="2"/>
  <c r="F42" i="13" s="1"/>
  <c r="G44" i="2"/>
  <c r="F46" i="13" s="1"/>
  <c r="L46" s="1"/>
  <c r="G29" i="2"/>
  <c r="F31" i="13" s="1"/>
  <c r="G13" i="2"/>
  <c r="F15" i="13" s="1"/>
  <c r="L15" s="1"/>
  <c r="G31" i="2"/>
  <c r="F33" i="13" s="1"/>
  <c r="G15" i="2"/>
  <c r="F17" i="13" s="1"/>
  <c r="L17" s="1"/>
  <c r="G36" i="2"/>
  <c r="F38" i="13" s="1"/>
  <c r="G35" i="2"/>
  <c r="F37" i="13" s="1"/>
  <c r="G30" i="2"/>
  <c r="F32" i="13" s="1"/>
  <c r="G14" i="2"/>
  <c r="F16" i="13" s="1"/>
  <c r="L16" s="1"/>
  <c r="G32" i="2"/>
  <c r="F34" i="13" s="1"/>
  <c r="G41" i="2"/>
  <c r="F43" i="13" s="1"/>
  <c r="I7" i="6"/>
  <c r="H7"/>
  <c r="C26" i="15" l="1"/>
  <c r="L24" i="13"/>
  <c r="H6"/>
  <c r="J6"/>
  <c r="G6"/>
  <c r="I6"/>
  <c r="I8" i="6"/>
  <c r="P1" i="1"/>
  <c r="M1"/>
  <c r="E17" i="6"/>
  <c r="E16"/>
  <c r="E15"/>
  <c r="E14"/>
  <c r="E13"/>
  <c r="E12"/>
  <c r="E11"/>
  <c r="E10"/>
  <c r="E9"/>
  <c r="E8"/>
  <c r="E7"/>
  <c r="E6"/>
  <c r="E5"/>
  <c r="E4"/>
  <c r="E3"/>
  <c r="E2"/>
  <c r="P31" i="1" l="1"/>
  <c r="P30"/>
  <c r="M31"/>
  <c r="M30"/>
  <c r="M8"/>
  <c r="M16"/>
  <c r="M28"/>
  <c r="M46"/>
  <c r="M62"/>
  <c r="M34"/>
  <c r="M114" s="1"/>
  <c r="M50"/>
  <c r="M71"/>
  <c r="M75"/>
  <c r="M77"/>
  <c r="M79"/>
  <c r="M81"/>
  <c r="M84"/>
  <c r="M92"/>
  <c r="M96"/>
  <c r="M102"/>
  <c r="M4"/>
  <c r="M38"/>
  <c r="M24"/>
  <c r="M42"/>
  <c r="M58"/>
  <c r="M64"/>
  <c r="M66"/>
  <c r="M68"/>
  <c r="M70"/>
  <c r="M72"/>
  <c r="M74"/>
  <c r="M76"/>
  <c r="M78"/>
  <c r="M80"/>
  <c r="M82"/>
  <c r="M83"/>
  <c r="M85"/>
  <c r="M87"/>
  <c r="M89"/>
  <c r="M91"/>
  <c r="M93"/>
  <c r="M95"/>
  <c r="M97"/>
  <c r="M99"/>
  <c r="M101"/>
  <c r="M103"/>
  <c r="M65"/>
  <c r="M67"/>
  <c r="M69"/>
  <c r="M73"/>
  <c r="M86"/>
  <c r="M88"/>
  <c r="M90"/>
  <c r="M94"/>
  <c r="M98"/>
  <c r="M100"/>
  <c r="M12"/>
  <c r="M20"/>
  <c r="M54"/>
  <c r="M33"/>
  <c r="M37"/>
  <c r="M3"/>
  <c r="M51"/>
  <c r="M35"/>
  <c r="M17"/>
  <c r="M6"/>
  <c r="M41"/>
  <c r="M7"/>
  <c r="M45"/>
  <c r="M11"/>
  <c r="M55"/>
  <c r="M39"/>
  <c r="M21"/>
  <c r="M5"/>
  <c r="M60"/>
  <c r="M52"/>
  <c r="M44"/>
  <c r="M36"/>
  <c r="M26"/>
  <c r="M123" s="1"/>
  <c r="M18"/>
  <c r="M49"/>
  <c r="M61"/>
  <c r="M23"/>
  <c r="M57"/>
  <c r="M27"/>
  <c r="M63"/>
  <c r="M47"/>
  <c r="M29"/>
  <c r="M127" s="1"/>
  <c r="M13"/>
  <c r="M56"/>
  <c r="M48"/>
  <c r="M40"/>
  <c r="M32"/>
  <c r="M118" s="1"/>
  <c r="M22"/>
  <c r="M10"/>
  <c r="M15"/>
  <c r="M53"/>
  <c r="M19"/>
  <c r="M59"/>
  <c r="M43"/>
  <c r="M25"/>
  <c r="M116" s="1"/>
  <c r="M9"/>
  <c r="M14"/>
  <c r="P3"/>
  <c r="P11"/>
  <c r="P19"/>
  <c r="P25"/>
  <c r="P116" s="1"/>
  <c r="C6" i="15" s="1"/>
  <c r="P37" i="1"/>
  <c r="P43"/>
  <c r="P53"/>
  <c r="P59"/>
  <c r="P23"/>
  <c r="P29"/>
  <c r="P127" s="1"/>
  <c r="C17" i="15" s="1"/>
  <c r="P47" i="1"/>
  <c r="P57"/>
  <c r="P66"/>
  <c r="P68"/>
  <c r="P72"/>
  <c r="P85"/>
  <c r="P87"/>
  <c r="P89"/>
  <c r="P93"/>
  <c r="P97"/>
  <c r="P99"/>
  <c r="P103"/>
  <c r="P35"/>
  <c r="P45"/>
  <c r="P21"/>
  <c r="P33"/>
  <c r="P39"/>
  <c r="P49"/>
  <c r="P55"/>
  <c r="P65"/>
  <c r="P67"/>
  <c r="P69"/>
  <c r="P71"/>
  <c r="P73"/>
  <c r="P75"/>
  <c r="P77"/>
  <c r="P79"/>
  <c r="P81"/>
  <c r="P84"/>
  <c r="P86"/>
  <c r="P88"/>
  <c r="P90"/>
  <c r="P92"/>
  <c r="P94"/>
  <c r="P96"/>
  <c r="P98"/>
  <c r="P100"/>
  <c r="P102"/>
  <c r="P41"/>
  <c r="P119" s="1"/>
  <c r="C9" i="15" s="1"/>
  <c r="P63" i="1"/>
  <c r="P64"/>
  <c r="P70"/>
  <c r="P74"/>
  <c r="P76"/>
  <c r="P78"/>
  <c r="P80"/>
  <c r="P83"/>
  <c r="P91"/>
  <c r="P95"/>
  <c r="P101"/>
  <c r="P7"/>
  <c r="P15"/>
  <c r="P27"/>
  <c r="P51"/>
  <c r="P61"/>
  <c r="P62"/>
  <c r="P28"/>
  <c r="P56"/>
  <c r="P40"/>
  <c r="P22"/>
  <c r="P6"/>
  <c r="P34"/>
  <c r="P114" s="1"/>
  <c r="C4" i="15" s="1"/>
  <c r="P17" i="1"/>
  <c r="P82"/>
  <c r="P38"/>
  <c r="P117" s="1"/>
  <c r="C7" i="15" s="1"/>
  <c r="P8" i="1"/>
  <c r="P60"/>
  <c r="P44"/>
  <c r="P26"/>
  <c r="P10"/>
  <c r="P42"/>
  <c r="P4"/>
  <c r="P13"/>
  <c r="P48"/>
  <c r="P32"/>
  <c r="P14"/>
  <c r="P54"/>
  <c r="P20"/>
  <c r="P52"/>
  <c r="P36"/>
  <c r="P18"/>
  <c r="P58"/>
  <c r="P24"/>
  <c r="P5"/>
  <c r="P46"/>
  <c r="P12"/>
  <c r="P50"/>
  <c r="P16"/>
  <c r="P9"/>
  <c r="C27" i="15"/>
  <c r="H66" i="13" s="1"/>
  <c r="K6"/>
  <c r="L6" s="1"/>
  <c r="N3" i="15"/>
  <c r="H22" s="1"/>
  <c r="M126" i="1"/>
  <c r="M119"/>
  <c r="P118"/>
  <c r="C8" i="15" s="1"/>
  <c r="P126" i="1"/>
  <c r="C16" i="15" s="1"/>
  <c r="P115" i="1"/>
  <c r="H1" i="2"/>
  <c r="H43" s="1"/>
  <c r="Q1" i="1"/>
  <c r="N1"/>
  <c r="M108"/>
  <c r="P108"/>
  <c r="B2" i="3"/>
  <c r="B13" s="1"/>
  <c r="C2"/>
  <c r="C13" s="1"/>
  <c r="I2"/>
  <c r="B14"/>
  <c r="C14"/>
  <c r="B15"/>
  <c r="C15"/>
  <c r="B16"/>
  <c r="C16"/>
  <c r="G2" i="1"/>
  <c r="L2" s="1"/>
  <c r="C5" i="15" l="1"/>
  <c r="M125" i="1"/>
  <c r="Q31"/>
  <c r="Q30"/>
  <c r="N30"/>
  <c r="N31"/>
  <c r="G8" i="15"/>
  <c r="I8" s="1"/>
  <c r="P112" i="1"/>
  <c r="N33"/>
  <c r="N49"/>
  <c r="N65"/>
  <c r="N67"/>
  <c r="N69"/>
  <c r="N71"/>
  <c r="N73"/>
  <c r="N75"/>
  <c r="N77"/>
  <c r="N79"/>
  <c r="N81"/>
  <c r="N84"/>
  <c r="N86"/>
  <c r="N88"/>
  <c r="N90"/>
  <c r="N92"/>
  <c r="N94"/>
  <c r="N96"/>
  <c r="N98"/>
  <c r="N100"/>
  <c r="N102"/>
  <c r="N53"/>
  <c r="N41"/>
  <c r="N119" s="1"/>
  <c r="N64"/>
  <c r="N66"/>
  <c r="N68"/>
  <c r="N70"/>
  <c r="N76"/>
  <c r="N78"/>
  <c r="N80"/>
  <c r="N82"/>
  <c r="N83"/>
  <c r="N85"/>
  <c r="N87"/>
  <c r="N89"/>
  <c r="N103"/>
  <c r="N7"/>
  <c r="N15"/>
  <c r="N27"/>
  <c r="N45"/>
  <c r="N61"/>
  <c r="N3"/>
  <c r="N11"/>
  <c r="N19"/>
  <c r="N37"/>
  <c r="N2"/>
  <c r="N23"/>
  <c r="N57"/>
  <c r="N72"/>
  <c r="N74"/>
  <c r="N91"/>
  <c r="N93"/>
  <c r="N95"/>
  <c r="N97"/>
  <c r="N99"/>
  <c r="N101"/>
  <c r="N51"/>
  <c r="N35"/>
  <c r="N17"/>
  <c r="N60"/>
  <c r="N52"/>
  <c r="N44"/>
  <c r="N36"/>
  <c r="N26"/>
  <c r="N123" s="1"/>
  <c r="N18"/>
  <c r="N10"/>
  <c r="N63"/>
  <c r="N47"/>
  <c r="N29"/>
  <c r="N127" s="1"/>
  <c r="N13"/>
  <c r="N58"/>
  <c r="N50"/>
  <c r="N42"/>
  <c r="N34"/>
  <c r="N114" s="1"/>
  <c r="N24"/>
  <c r="N16"/>
  <c r="N8"/>
  <c r="N59"/>
  <c r="N25"/>
  <c r="N116" s="1"/>
  <c r="N55"/>
  <c r="N39"/>
  <c r="N21"/>
  <c r="N5"/>
  <c r="N62"/>
  <c r="N54"/>
  <c r="N46"/>
  <c r="N38"/>
  <c r="N28"/>
  <c r="N20"/>
  <c r="N12"/>
  <c r="N4"/>
  <c r="N43"/>
  <c r="N9"/>
  <c r="N56"/>
  <c r="N48"/>
  <c r="N40"/>
  <c r="N32"/>
  <c r="N22"/>
  <c r="N14"/>
  <c r="N6"/>
  <c r="P2"/>
  <c r="Q34"/>
  <c r="Q114" s="1"/>
  <c r="Q50"/>
  <c r="Q64"/>
  <c r="Q66"/>
  <c r="Q68"/>
  <c r="Q70"/>
  <c r="Q72"/>
  <c r="Q74"/>
  <c r="Q76"/>
  <c r="Q78"/>
  <c r="Q80"/>
  <c r="Q83"/>
  <c r="Q85"/>
  <c r="Q87"/>
  <c r="Q89"/>
  <c r="Q91"/>
  <c r="Q93"/>
  <c r="Q95"/>
  <c r="Q97"/>
  <c r="Q99"/>
  <c r="Q101"/>
  <c r="Q103"/>
  <c r="Q4"/>
  <c r="Q38"/>
  <c r="Q42"/>
  <c r="Q58"/>
  <c r="Q65"/>
  <c r="Q69"/>
  <c r="Q75"/>
  <c r="Q79"/>
  <c r="Q81"/>
  <c r="Q84"/>
  <c r="Q88"/>
  <c r="Q94"/>
  <c r="Q98"/>
  <c r="Q102"/>
  <c r="Q8"/>
  <c r="Q16"/>
  <c r="Q28"/>
  <c r="Q46"/>
  <c r="Q62"/>
  <c r="Q12"/>
  <c r="Q20"/>
  <c r="Q54"/>
  <c r="Q24"/>
  <c r="Q67"/>
  <c r="Q71"/>
  <c r="Q73"/>
  <c r="Q77"/>
  <c r="Q86"/>
  <c r="Q90"/>
  <c r="Q92"/>
  <c r="Q96"/>
  <c r="Q100"/>
  <c r="Q60"/>
  <c r="Q44"/>
  <c r="Q26"/>
  <c r="Q123" s="1"/>
  <c r="Q10"/>
  <c r="Q57"/>
  <c r="Q49"/>
  <c r="Q41"/>
  <c r="Q119" s="1"/>
  <c r="Q33"/>
  <c r="Q23"/>
  <c r="Q15"/>
  <c r="Q7"/>
  <c r="Q56"/>
  <c r="Q40"/>
  <c r="Q22"/>
  <c r="Q6"/>
  <c r="Q63"/>
  <c r="Q55"/>
  <c r="Q47"/>
  <c r="Q39"/>
  <c r="Q29"/>
  <c r="Q127" s="1"/>
  <c r="Q21"/>
  <c r="Q13"/>
  <c r="Q5"/>
  <c r="Q52"/>
  <c r="Q18"/>
  <c r="Q48"/>
  <c r="Q32"/>
  <c r="Q118" s="1"/>
  <c r="Q14"/>
  <c r="Q59"/>
  <c r="Q51"/>
  <c r="Q43"/>
  <c r="Q35"/>
  <c r="Q126" s="1"/>
  <c r="Q25"/>
  <c r="Q17"/>
  <c r="Q9"/>
  <c r="Q36"/>
  <c r="Q61"/>
  <c r="Q53"/>
  <c r="Q45"/>
  <c r="Q125" s="1"/>
  <c r="Q37"/>
  <c r="Q27"/>
  <c r="Q19"/>
  <c r="Q11"/>
  <c r="Q3"/>
  <c r="Q82"/>
  <c r="P111"/>
  <c r="F53" i="13" s="1"/>
  <c r="P123" i="1"/>
  <c r="C13" i="15" s="1"/>
  <c r="G13" s="1"/>
  <c r="I13" s="1"/>
  <c r="M111" i="1"/>
  <c r="M2"/>
  <c r="M112"/>
  <c r="J45" i="13"/>
  <c r="I45"/>
  <c r="H45"/>
  <c r="G45"/>
  <c r="H50"/>
  <c r="G50"/>
  <c r="J50"/>
  <c r="I50"/>
  <c r="J43"/>
  <c r="G43"/>
  <c r="I43"/>
  <c r="H43"/>
  <c r="L110" i="1"/>
  <c r="F48" i="13" s="1"/>
  <c r="P124" i="1"/>
  <c r="M117"/>
  <c r="M109"/>
  <c r="M122"/>
  <c r="O3" i="15"/>
  <c r="I22" s="1"/>
  <c r="N118" i="1"/>
  <c r="N126"/>
  <c r="N117"/>
  <c r="P122"/>
  <c r="C12" i="15" s="1"/>
  <c r="P125" i="1"/>
  <c r="M115"/>
  <c r="M124"/>
  <c r="Q116"/>
  <c r="Q115"/>
  <c r="H13" i="3"/>
  <c r="E13"/>
  <c r="F13"/>
  <c r="H33" i="13" s="1"/>
  <c r="G13" i="3"/>
  <c r="I33" i="13" s="1"/>
  <c r="G32"/>
  <c r="G33"/>
  <c r="G42"/>
  <c r="J5"/>
  <c r="G23"/>
  <c r="G28"/>
  <c r="G29"/>
  <c r="G37"/>
  <c r="G39"/>
  <c r="G30"/>
  <c r="G21"/>
  <c r="G38"/>
  <c r="G27"/>
  <c r="G22"/>
  <c r="G26"/>
  <c r="J34"/>
  <c r="G41"/>
  <c r="G25"/>
  <c r="G35"/>
  <c r="G31"/>
  <c r="G36"/>
  <c r="H36"/>
  <c r="J42"/>
  <c r="J23"/>
  <c r="J37"/>
  <c r="H38"/>
  <c r="H26"/>
  <c r="J25"/>
  <c r="J36"/>
  <c r="H32"/>
  <c r="J33"/>
  <c r="I42"/>
  <c r="G5"/>
  <c r="H23"/>
  <c r="J28"/>
  <c r="I29"/>
  <c r="I37"/>
  <c r="J39"/>
  <c r="J30"/>
  <c r="J21"/>
  <c r="J38"/>
  <c r="J27"/>
  <c r="J22"/>
  <c r="J26"/>
  <c r="I34"/>
  <c r="H41"/>
  <c r="I25"/>
  <c r="J35"/>
  <c r="J31"/>
  <c r="I28"/>
  <c r="I39"/>
  <c r="H21"/>
  <c r="H22"/>
  <c r="J41"/>
  <c r="I31"/>
  <c r="J32"/>
  <c r="H42"/>
  <c r="H5"/>
  <c r="I23"/>
  <c r="H28"/>
  <c r="H29"/>
  <c r="H37"/>
  <c r="H39"/>
  <c r="I30"/>
  <c r="I21"/>
  <c r="I38"/>
  <c r="H27"/>
  <c r="I22"/>
  <c r="I26"/>
  <c r="H34"/>
  <c r="I41"/>
  <c r="H25"/>
  <c r="H35"/>
  <c r="H31"/>
  <c r="I36"/>
  <c r="I5"/>
  <c r="J29"/>
  <c r="H30"/>
  <c r="I27"/>
  <c r="G34"/>
  <c r="I35"/>
  <c r="H28" i="2"/>
  <c r="H20"/>
  <c r="H4"/>
  <c r="H29"/>
  <c r="H21"/>
  <c r="H9"/>
  <c r="H42"/>
  <c r="H38"/>
  <c r="H34"/>
  <c r="H30"/>
  <c r="H26"/>
  <c r="H22"/>
  <c r="H18"/>
  <c r="H14"/>
  <c r="H10"/>
  <c r="H6"/>
  <c r="H44"/>
  <c r="H39"/>
  <c r="H35"/>
  <c r="H31"/>
  <c r="H27"/>
  <c r="H23"/>
  <c r="H19"/>
  <c r="H15"/>
  <c r="H11"/>
  <c r="H7"/>
  <c r="H3"/>
  <c r="H32"/>
  <c r="H12"/>
  <c r="H41"/>
  <c r="H33"/>
  <c r="H25"/>
  <c r="H13"/>
  <c r="H40"/>
  <c r="H36"/>
  <c r="H24"/>
  <c r="H16"/>
  <c r="H8"/>
  <c r="H37"/>
  <c r="H17"/>
  <c r="H5"/>
  <c r="F54" i="13"/>
  <c r="G7" i="15"/>
  <c r="I7" s="1"/>
  <c r="H2" i="2"/>
  <c r="F49" i="13"/>
  <c r="M110" i="1"/>
  <c r="Q108"/>
  <c r="Q2"/>
  <c r="I1" i="2"/>
  <c r="I43" s="1"/>
  <c r="P109" i="1"/>
  <c r="F51" i="13" s="1"/>
  <c r="R1" i="1"/>
  <c r="N108"/>
  <c r="L109"/>
  <c r="F47" i="13" s="1"/>
  <c r="G1" i="3"/>
  <c r="I3" i="13" s="1"/>
  <c r="J3"/>
  <c r="E1" i="3"/>
  <c r="G3" i="13" s="1"/>
  <c r="F1" i="3"/>
  <c r="H3" i="13" s="1"/>
  <c r="G16" i="15" l="1"/>
  <c r="I16" s="1"/>
  <c r="C14"/>
  <c r="G14" s="1"/>
  <c r="I14" s="1"/>
  <c r="G17"/>
  <c r="I17" s="1"/>
  <c r="C15"/>
  <c r="G15" s="1"/>
  <c r="I15" s="1"/>
  <c r="R30" i="1"/>
  <c r="R31"/>
  <c r="Q111"/>
  <c r="N111"/>
  <c r="N109"/>
  <c r="N112"/>
  <c r="Q112"/>
  <c r="R4"/>
  <c r="R12"/>
  <c r="R20"/>
  <c r="R38"/>
  <c r="R54"/>
  <c r="R42"/>
  <c r="R69"/>
  <c r="R73"/>
  <c r="R75"/>
  <c r="R77"/>
  <c r="R79"/>
  <c r="R82"/>
  <c r="R90"/>
  <c r="R94"/>
  <c r="R100"/>
  <c r="R46"/>
  <c r="R34"/>
  <c r="R114" s="1"/>
  <c r="R50"/>
  <c r="R64"/>
  <c r="R66"/>
  <c r="R68"/>
  <c r="R70"/>
  <c r="R72"/>
  <c r="R74"/>
  <c r="R76"/>
  <c r="R78"/>
  <c r="R80"/>
  <c r="R83"/>
  <c r="R85"/>
  <c r="R87"/>
  <c r="R89"/>
  <c r="R91"/>
  <c r="R93"/>
  <c r="R95"/>
  <c r="R97"/>
  <c r="R99"/>
  <c r="R101"/>
  <c r="R103"/>
  <c r="R24"/>
  <c r="R58"/>
  <c r="R65"/>
  <c r="R67"/>
  <c r="R71"/>
  <c r="R81"/>
  <c r="R84"/>
  <c r="R86"/>
  <c r="R88"/>
  <c r="R92"/>
  <c r="R96"/>
  <c r="R98"/>
  <c r="R102"/>
  <c r="R8"/>
  <c r="R16"/>
  <c r="R28"/>
  <c r="R62"/>
  <c r="R56"/>
  <c r="R48"/>
  <c r="R40"/>
  <c r="R32"/>
  <c r="R22"/>
  <c r="R10"/>
  <c r="R63"/>
  <c r="R55"/>
  <c r="R47"/>
  <c r="R39"/>
  <c r="R29"/>
  <c r="R127" s="1"/>
  <c r="R21"/>
  <c r="R13"/>
  <c r="R5"/>
  <c r="R6"/>
  <c r="R57"/>
  <c r="R49"/>
  <c r="R41"/>
  <c r="R119" s="1"/>
  <c r="R33"/>
  <c r="R23"/>
  <c r="R15"/>
  <c r="R7"/>
  <c r="R44"/>
  <c r="R18"/>
  <c r="R14"/>
  <c r="R61"/>
  <c r="R53"/>
  <c r="R45"/>
  <c r="R37"/>
  <c r="R27"/>
  <c r="R19"/>
  <c r="R11"/>
  <c r="R3"/>
  <c r="R60"/>
  <c r="R52"/>
  <c r="R36"/>
  <c r="R26"/>
  <c r="R59"/>
  <c r="R51"/>
  <c r="R43"/>
  <c r="R35"/>
  <c r="R126" s="1"/>
  <c r="R25"/>
  <c r="R116" s="1"/>
  <c r="R17"/>
  <c r="R9"/>
  <c r="K43" i="13"/>
  <c r="L43" s="1"/>
  <c r="K50"/>
  <c r="L50" s="1"/>
  <c r="K45"/>
  <c r="L45" s="1"/>
  <c r="G47"/>
  <c r="J47"/>
  <c r="H47"/>
  <c r="I47"/>
  <c r="G51"/>
  <c r="J51"/>
  <c r="H51"/>
  <c r="I51"/>
  <c r="G48"/>
  <c r="I48"/>
  <c r="J48"/>
  <c r="H48"/>
  <c r="G53"/>
  <c r="H53"/>
  <c r="I53"/>
  <c r="J53"/>
  <c r="I54"/>
  <c r="J54"/>
  <c r="G54"/>
  <c r="H54"/>
  <c r="G49"/>
  <c r="H49"/>
  <c r="I49"/>
  <c r="J49"/>
  <c r="G9" i="15"/>
  <c r="I9" s="1"/>
  <c r="G5"/>
  <c r="I5" s="1"/>
  <c r="G12"/>
  <c r="I12" s="1"/>
  <c r="Q109" i="1"/>
  <c r="Q110"/>
  <c r="Q117"/>
  <c r="N110"/>
  <c r="P110"/>
  <c r="F52" i="13" s="1"/>
  <c r="Q122" i="1"/>
  <c r="G6" i="15"/>
  <c r="I6" s="1"/>
  <c r="K37" i="13"/>
  <c r="L37" s="1"/>
  <c r="N122" i="1"/>
  <c r="N124"/>
  <c r="R118"/>
  <c r="N125"/>
  <c r="Q124"/>
  <c r="N115"/>
  <c r="K26" i="13"/>
  <c r="L26" s="1"/>
  <c r="I32"/>
  <c r="K32" s="1"/>
  <c r="L32" s="1"/>
  <c r="I13" i="3"/>
  <c r="K35" i="13"/>
  <c r="L35" s="1"/>
  <c r="K34"/>
  <c r="L34" s="1"/>
  <c r="K5"/>
  <c r="L5" s="1"/>
  <c r="K25"/>
  <c r="L25" s="1"/>
  <c r="K22"/>
  <c r="L22" s="1"/>
  <c r="K29"/>
  <c r="L29" s="1"/>
  <c r="K42"/>
  <c r="L42" s="1"/>
  <c r="K36"/>
  <c r="L36" s="1"/>
  <c r="K41"/>
  <c r="L41" s="1"/>
  <c r="K27"/>
  <c r="L27" s="1"/>
  <c r="K30"/>
  <c r="L30" s="1"/>
  <c r="K28"/>
  <c r="L28" s="1"/>
  <c r="K33"/>
  <c r="L33" s="1"/>
  <c r="K21"/>
  <c r="L21" s="1"/>
  <c r="K31"/>
  <c r="L31" s="1"/>
  <c r="K38"/>
  <c r="L38" s="1"/>
  <c r="K39"/>
  <c r="L39" s="1"/>
  <c r="K23"/>
  <c r="L23" s="1"/>
  <c r="I40" i="2"/>
  <c r="I36"/>
  <c r="I32"/>
  <c r="I28"/>
  <c r="I24"/>
  <c r="I20"/>
  <c r="I16"/>
  <c r="I12"/>
  <c r="I8"/>
  <c r="I4"/>
  <c r="I41"/>
  <c r="I37"/>
  <c r="I33"/>
  <c r="I29"/>
  <c r="I25"/>
  <c r="I21"/>
  <c r="I17"/>
  <c r="I13"/>
  <c r="I9"/>
  <c r="I5"/>
  <c r="I42"/>
  <c r="I38"/>
  <c r="I34"/>
  <c r="I30"/>
  <c r="I26"/>
  <c r="I22"/>
  <c r="I18"/>
  <c r="I14"/>
  <c r="I10"/>
  <c r="I6"/>
  <c r="I44"/>
  <c r="I39"/>
  <c r="I35"/>
  <c r="I31"/>
  <c r="I27"/>
  <c r="I23"/>
  <c r="I19"/>
  <c r="I15"/>
  <c r="I11"/>
  <c r="I7"/>
  <c r="I3"/>
  <c r="I2"/>
  <c r="H45"/>
  <c r="G4" i="15"/>
  <c r="R108" i="1"/>
  <c r="R2"/>
  <c r="M128"/>
  <c r="Q105"/>
  <c r="N105"/>
  <c r="L105"/>
  <c r="L128"/>
  <c r="M105"/>
  <c r="P105"/>
  <c r="G45" i="2"/>
  <c r="R123" i="1" l="1"/>
  <c r="R111"/>
  <c r="R112"/>
  <c r="K48" i="13"/>
  <c r="L48" s="1"/>
  <c r="K47"/>
  <c r="L47" s="1"/>
  <c r="K51"/>
  <c r="L51" s="1"/>
  <c r="G52"/>
  <c r="J52"/>
  <c r="J55" s="1"/>
  <c r="F60" s="1"/>
  <c r="H52"/>
  <c r="I52"/>
  <c r="I55" s="1"/>
  <c r="K54"/>
  <c r="L54" s="1"/>
  <c r="K49"/>
  <c r="L49" s="1"/>
  <c r="K53"/>
  <c r="L53" s="1"/>
  <c r="I4" i="15"/>
  <c r="I18" s="1"/>
  <c r="G18"/>
  <c r="G66" i="13" s="1"/>
  <c r="R109" i="1"/>
  <c r="C18" i="15"/>
  <c r="R117" i="1"/>
  <c r="R110"/>
  <c r="N128"/>
  <c r="N129" s="1"/>
  <c r="R115"/>
  <c r="R122"/>
  <c r="R125"/>
  <c r="R124"/>
  <c r="I45" i="2"/>
  <c r="Q128" i="1"/>
  <c r="Q129" s="1"/>
  <c r="R105"/>
  <c r="M129"/>
  <c r="L129"/>
  <c r="P128"/>
  <c r="P129" s="1"/>
  <c r="K52" i="13" l="1"/>
  <c r="L52" s="1"/>
  <c r="H55"/>
  <c r="R128" i="1"/>
  <c r="R129" s="1"/>
  <c r="G55" i="13"/>
  <c r="F57" l="1"/>
  <c r="G57" s="1"/>
  <c r="G60" s="1"/>
  <c r="K55"/>
  <c r="I57" l="1"/>
  <c r="I60" s="1"/>
  <c r="F61" s="1"/>
  <c r="H57"/>
  <c r="H60" s="1"/>
  <c r="K60" l="1"/>
  <c r="L60" s="1"/>
  <c r="K57"/>
  <c r="G6" i="17" l="1"/>
  <c r="H6"/>
  <c r="J6" s="1"/>
  <c r="J8" s="1"/>
  <c r="I9" s="1"/>
  <c r="H8" l="1"/>
  <c r="H9" l="1"/>
  <c r="J9" s="1"/>
  <c r="G58" i="13"/>
  <c r="F58" s="1"/>
  <c r="G61" l="1"/>
  <c r="G62" s="1"/>
  <c r="G64" s="1"/>
  <c r="H61"/>
  <c r="G68" l="1"/>
  <c r="B20" i="15" s="1"/>
  <c r="K61" i="13"/>
  <c r="L61" s="1"/>
  <c r="H62"/>
  <c r="H64" s="1"/>
  <c r="H68" s="1"/>
  <c r="B29" i="15" s="1"/>
  <c r="K64" i="13" l="1"/>
  <c r="L64" s="1"/>
  <c r="J11" i="15"/>
  <c r="K11" s="1"/>
  <c r="L11" s="1"/>
  <c r="J16"/>
  <c r="K16" s="1"/>
  <c r="L16" s="1"/>
  <c r="J13"/>
  <c r="K13" s="1"/>
  <c r="L13" s="1"/>
  <c r="J8"/>
  <c r="K8" s="1"/>
  <c r="L8" s="1"/>
  <c r="J10"/>
  <c r="K10" s="1"/>
  <c r="L10" s="1"/>
  <c r="J7"/>
  <c r="K7" s="1"/>
  <c r="L7" s="1"/>
  <c r="J15"/>
  <c r="K15" s="1"/>
  <c r="L15" s="1"/>
  <c r="J4"/>
  <c r="J17"/>
  <c r="K17" s="1"/>
  <c r="L17" s="1"/>
  <c r="J14"/>
  <c r="K14" s="1"/>
  <c r="L14" s="1"/>
  <c r="J12"/>
  <c r="K12" s="1"/>
  <c r="L12" s="1"/>
  <c r="J6"/>
  <c r="K6" s="1"/>
  <c r="L6" s="1"/>
  <c r="J5"/>
  <c r="K5" s="1"/>
  <c r="L5" s="1"/>
  <c r="J9"/>
  <c r="K9" s="1"/>
  <c r="L9" s="1"/>
  <c r="D26"/>
  <c r="E26" s="1"/>
  <c r="F26" s="1"/>
  <c r="D23"/>
  <c r="D24"/>
  <c r="E24" s="1"/>
  <c r="F24" s="1"/>
  <c r="D25"/>
  <c r="E25" s="1"/>
  <c r="F25" s="1"/>
  <c r="E23" l="1"/>
  <c r="F23" s="1"/>
  <c r="D27"/>
  <c r="K4"/>
  <c r="J18"/>
  <c r="L4" l="1"/>
  <c r="K18"/>
</calcChain>
</file>

<file path=xl/comments1.xml><?xml version="1.0" encoding="utf-8"?>
<comments xmlns="http://schemas.openxmlformats.org/spreadsheetml/2006/main">
  <authors>
    <author>Matthias-Magnus Dudzus</author>
  </authors>
  <commentList>
    <comment ref="F24" authorId="0">
      <text>
        <r>
          <rPr>
            <b/>
            <sz val="9"/>
            <color indexed="81"/>
            <rFont val="Segoe UI"/>
            <family val="2"/>
          </rPr>
          <t>Matthias-Magnus Dudzus:</t>
        </r>
        <r>
          <rPr>
            <sz val="9"/>
            <color indexed="81"/>
            <rFont val="Segoe UI"/>
            <family val="2"/>
          </rPr>
          <t xml:space="preserve">
Erstattungen an Arbeitgeber für Verdienstausfall (geht in die Kostenträgerrechnung direkt)</t>
        </r>
      </text>
    </comment>
  </commentList>
</comments>
</file>

<file path=xl/sharedStrings.xml><?xml version="1.0" encoding="utf-8"?>
<sst xmlns="http://schemas.openxmlformats.org/spreadsheetml/2006/main" count="776" uniqueCount="516">
  <si>
    <t>Nr.</t>
  </si>
  <si>
    <t>Anlagebezeichnung</t>
  </si>
  <si>
    <t>Index</t>
  </si>
  <si>
    <t>AJ</t>
  </si>
  <si>
    <t>ND</t>
  </si>
  <si>
    <t>LAJ</t>
  </si>
  <si>
    <t>Wert</t>
  </si>
  <si>
    <t>I</t>
  </si>
  <si>
    <t>Strom</t>
  </si>
  <si>
    <t>Bezeichnung</t>
  </si>
  <si>
    <t>Buchungsstelle</t>
  </si>
  <si>
    <t>W</t>
  </si>
  <si>
    <t>A</t>
  </si>
  <si>
    <t>Prozent</t>
  </si>
  <si>
    <t>Verwaltung</t>
  </si>
  <si>
    <t>Summe</t>
  </si>
  <si>
    <t>Einheit</t>
  </si>
  <si>
    <t>Kürzel</t>
  </si>
  <si>
    <t>Plan</t>
  </si>
  <si>
    <t>Nullsteigerung</t>
  </si>
  <si>
    <t>Andere Waren und Dienstleistungen</t>
  </si>
  <si>
    <t>Bildungswesen</t>
  </si>
  <si>
    <t>B</t>
  </si>
  <si>
    <t>Einrichtungsgegenstände und ähnliches für den Haushalt Instandhaltung</t>
  </si>
  <si>
    <t>N</t>
  </si>
  <si>
    <t>P</t>
  </si>
  <si>
    <t>Verkehr</t>
  </si>
  <si>
    <t>V</t>
  </si>
  <si>
    <t>Wohnungsmiete, Wasser, Strom, Gas und andere Brennstoffe</t>
  </si>
  <si>
    <t>KS</t>
  </si>
  <si>
    <t>Zinsen</t>
  </si>
  <si>
    <t>Abschreibungen</t>
  </si>
  <si>
    <t>KST/KT</t>
  </si>
  <si>
    <t>Förder-mittel</t>
  </si>
  <si>
    <t>Kostenstellen</t>
  </si>
  <si>
    <t>Kostenträger</t>
  </si>
  <si>
    <t>Abk.</t>
  </si>
  <si>
    <t>VW</t>
  </si>
  <si>
    <t>Kostenstellenrechnung</t>
  </si>
  <si>
    <t>Aktiv</t>
  </si>
  <si>
    <t>Buchungs-schlüssel</t>
  </si>
  <si>
    <t>RW</t>
  </si>
  <si>
    <t>Fahrzeuge</t>
  </si>
  <si>
    <t>FZ</t>
  </si>
  <si>
    <t>Personal</t>
  </si>
  <si>
    <t>PE</t>
  </si>
  <si>
    <t>Kommandowagen</t>
  </si>
  <si>
    <t>KdoW</t>
  </si>
  <si>
    <t>ELW1</t>
  </si>
  <si>
    <t>Mannschaftstransportfahrzeug</t>
  </si>
  <si>
    <t>MTF</t>
  </si>
  <si>
    <t>Rüstwagen</t>
  </si>
  <si>
    <t>Gebäude</t>
  </si>
  <si>
    <t>Gb</t>
  </si>
  <si>
    <t>Kraftstoffe</t>
  </si>
  <si>
    <t>Abkürzung</t>
  </si>
  <si>
    <t>Ist 2015</t>
  </si>
  <si>
    <t>Wohnung, Miete, Strom</t>
  </si>
  <si>
    <t>Neuer Index</t>
  </si>
  <si>
    <t>Alter Index</t>
  </si>
  <si>
    <t>Neues Jahr</t>
  </si>
  <si>
    <t>Alte Jahr</t>
  </si>
  <si>
    <t>Anzahl Jahre</t>
  </si>
  <si>
    <t>Beherbergungs- und Gaststättendienstleistungen</t>
  </si>
  <si>
    <t>F</t>
  </si>
  <si>
    <t>Divisor</t>
  </si>
  <si>
    <t>durchs. Preissteigerung</t>
  </si>
  <si>
    <t>Personalkosten</t>
  </si>
  <si>
    <t>Anfangskapital</t>
  </si>
  <si>
    <t>Baupreisindex Nichtwohngebäude - Bürogebäude</t>
  </si>
  <si>
    <t>BB</t>
  </si>
  <si>
    <t>Jahre</t>
  </si>
  <si>
    <t>Baupreisindex Nichtwohngebäude - gewerbliche Betriebsgebäude</t>
  </si>
  <si>
    <t>BGB</t>
  </si>
  <si>
    <t>Zinssatz</t>
  </si>
  <si>
    <t>Aufzinsungsfaktor</t>
  </si>
  <si>
    <t>Gas</t>
  </si>
  <si>
    <t>GS</t>
  </si>
  <si>
    <t>EN</t>
  </si>
  <si>
    <t>Endkapital</t>
  </si>
  <si>
    <t>Kraftstoffe (Diesel / Benzin)</t>
  </si>
  <si>
    <t>Die Kalkulationsspalte ermittelt nach kaufmännischem Vorsichtsprinzip den Zinssatz auf 0,25% aufgerundet, mind. aber 0%!</t>
  </si>
  <si>
    <t>Index in %</t>
  </si>
  <si>
    <t>Differenz</t>
  </si>
  <si>
    <t>1=Restbuchwert; 2=Durchnittsmethode</t>
  </si>
  <si>
    <t>Primärkosten</t>
  </si>
  <si>
    <t>Kostenumlage Verwaltung</t>
  </si>
  <si>
    <t>Kostenumlage Gebäude</t>
  </si>
  <si>
    <t>Kostenschlüssel Verwaltung (in %)</t>
  </si>
  <si>
    <t>Kostenschlüssel Gebäude (in m²)</t>
  </si>
  <si>
    <t>Summe Sekundärkosten</t>
  </si>
  <si>
    <t>Gesamtkosten je Hauptkostenstelle</t>
  </si>
  <si>
    <t>Einzelkosten</t>
  </si>
  <si>
    <t>Zuschlagssatz (Gemk. / Einzk.)</t>
  </si>
  <si>
    <t>Kostenträgerrechnung</t>
  </si>
  <si>
    <t>Abschreibung</t>
  </si>
  <si>
    <t>Einssatzstunden</t>
  </si>
  <si>
    <t>Gebf. Kosten</t>
  </si>
  <si>
    <t>GKZ</t>
  </si>
  <si>
    <t>EUR/Einsatzstunde</t>
  </si>
  <si>
    <t>Durchschnitt</t>
  </si>
  <si>
    <t>Summe Einzelkosten</t>
  </si>
  <si>
    <t>Gemeinkostenzuschlagssatz</t>
  </si>
  <si>
    <t>Gemeinkosten</t>
  </si>
  <si>
    <t>EUR / Stunde</t>
  </si>
  <si>
    <t>Beschlussvorlage</t>
  </si>
  <si>
    <t>Kostendeckung</t>
  </si>
  <si>
    <t>Rundung</t>
  </si>
  <si>
    <t>kalk. Wert</t>
  </si>
  <si>
    <t>akt. Wert</t>
  </si>
  <si>
    <t>Differenz %</t>
  </si>
  <si>
    <t>Vorschlag</t>
  </si>
  <si>
    <t>Zinsschalter</t>
  </si>
  <si>
    <t>1=OHNE Zuschüsse; 2=MIT Zuschüsse (gebührenentlastend)</t>
  </si>
  <si>
    <t>Nachrichtenübermittlung (Telekommunikation)</t>
  </si>
  <si>
    <t>a</t>
  </si>
  <si>
    <t>p</t>
  </si>
  <si>
    <t>gs</t>
  </si>
  <si>
    <t>en</t>
  </si>
  <si>
    <t>w</t>
  </si>
  <si>
    <t>Jahresstunden</t>
  </si>
  <si>
    <t>Abschreibungen / Zinsen</t>
  </si>
  <si>
    <t>Gewerbliche Produkte</t>
  </si>
  <si>
    <t>GP</t>
  </si>
  <si>
    <t>D</t>
  </si>
  <si>
    <t>Link Destatis</t>
  </si>
  <si>
    <t>Waren u. Dienstleistungen für Fahrzeuge</t>
  </si>
  <si>
    <t>Bezeichnung (Index 2010-2015)</t>
  </si>
  <si>
    <t>HLF 20</t>
  </si>
  <si>
    <t>TM</t>
  </si>
  <si>
    <t>KEF</t>
  </si>
  <si>
    <t>LF 16 TS</t>
  </si>
  <si>
    <t>Einsatzleitwagen1</t>
  </si>
  <si>
    <t>LF 20</t>
  </si>
  <si>
    <t>Hilfeleistungslöschfahrzeug</t>
  </si>
  <si>
    <t>Gerätewagen Gefahrgut</t>
  </si>
  <si>
    <t>Gerätewagen Logistik</t>
  </si>
  <si>
    <t>GWG</t>
  </si>
  <si>
    <t>GWL</t>
  </si>
  <si>
    <t>Teleskopmast</t>
  </si>
  <si>
    <t>Wechselladerfahrzeug</t>
  </si>
  <si>
    <t>WLF26</t>
  </si>
  <si>
    <t>Kleineinsatzfahrzeug</t>
  </si>
  <si>
    <t>AA-Nr.</t>
  </si>
  <si>
    <t>414000</t>
  </si>
  <si>
    <t>414100</t>
  </si>
  <si>
    <t>416100</t>
  </si>
  <si>
    <t>432130</t>
  </si>
  <si>
    <t>446190</t>
  </si>
  <si>
    <t>448803</t>
  </si>
  <si>
    <t>454290</t>
  </si>
  <si>
    <t>458200</t>
  </si>
  <si>
    <t>459100</t>
  </si>
  <si>
    <t>Konto</t>
  </si>
  <si>
    <t>Zuweisungen vom Bund</t>
  </si>
  <si>
    <t>Zuweisungen vom Land</t>
  </si>
  <si>
    <t>Erträge aus der Auflösung von Sonderposten aus Zuwendungen</t>
  </si>
  <si>
    <t>Entgelt für die Inanspruch nahme öffentlicher Dienste</t>
  </si>
  <si>
    <t>Sonstige privatrechliche Leistungsentgelte</t>
  </si>
  <si>
    <t>Erstattungen für Schadens fälle - durch Schadens verursacher/Versicherer</t>
  </si>
  <si>
    <t>VK Verkäufe von beweglichem Vermögen</t>
  </si>
  <si>
    <t>Auflösung/Herabsetzung RKSt</t>
  </si>
  <si>
    <t>Andere sonstige ordentliche Erträge</t>
  </si>
  <si>
    <t>501101</t>
  </si>
  <si>
    <t>501201</t>
  </si>
  <si>
    <t>501996</t>
  </si>
  <si>
    <t>502200</t>
  </si>
  <si>
    <t>503201</t>
  </si>
  <si>
    <t>504100</t>
  </si>
  <si>
    <t>505100</t>
  </si>
  <si>
    <t>506100</t>
  </si>
  <si>
    <t>521110</t>
  </si>
  <si>
    <t>521120</t>
  </si>
  <si>
    <t>523500</t>
  </si>
  <si>
    <t>523800</t>
  </si>
  <si>
    <t>524119</t>
  </si>
  <si>
    <t>524120</t>
  </si>
  <si>
    <t>524130</t>
  </si>
  <si>
    <t>524149</t>
  </si>
  <si>
    <t>524156</t>
  </si>
  <si>
    <t>524157</t>
  </si>
  <si>
    <t>524158</t>
  </si>
  <si>
    <t>525101</t>
  </si>
  <si>
    <t>525103</t>
  </si>
  <si>
    <t>525192</t>
  </si>
  <si>
    <t>525510</t>
  </si>
  <si>
    <t>525530</t>
  </si>
  <si>
    <t>528110</t>
  </si>
  <si>
    <t>528190</t>
  </si>
  <si>
    <t>529190</t>
  </si>
  <si>
    <t>531890</t>
  </si>
  <si>
    <t>541211</t>
  </si>
  <si>
    <t>542120</t>
  </si>
  <si>
    <t>544110</t>
  </si>
  <si>
    <t>571100</t>
  </si>
  <si>
    <t>573120</t>
  </si>
  <si>
    <t>Bezüge der Beamten</t>
  </si>
  <si>
    <t>Vergütungen der tariflich Beschäftigten</t>
  </si>
  <si>
    <t>Inanspruchnahme / Verbrauch sonstiger Gehalts-RKSt</t>
  </si>
  <si>
    <t>Beiträge zur Versorgungskasse für tariflich Beschäftigte</t>
  </si>
  <si>
    <t>Beiträge zur gesetzlichen Sozialversicherung aus lfd. Vergütung für tariflich Beschäftigte</t>
  </si>
  <si>
    <t>Beihilfen und Unterstützungsleistungen für Beschäftigte</t>
  </si>
  <si>
    <t>Zuführungen zu Pensionsrückstellungen für Beamte</t>
  </si>
  <si>
    <t>Zuführungen zu Beihilferückstellung für Beamte</t>
  </si>
  <si>
    <t>Unterhaltung der bebauten Grundstücke, Gebäude und baulichen Anlagen - Unabdingbares</t>
  </si>
  <si>
    <t>Unterhaltung der bebauten Grundstücke, Gebäude und baulichen Anlagen - begrünte Außenanlagen</t>
  </si>
  <si>
    <t>Erstattungen an verbundene Unternehmen, Beteiligungen und Sondervermögen</t>
  </si>
  <si>
    <t>Erstattungen an übrige Bereiche</t>
  </si>
  <si>
    <t>Bewirtschaftung der Grund stücke und baulichen Anlagen - Grundabgaben</t>
  </si>
  <si>
    <t>Bewirtschaftung der Grund stücke und baulichen Anlagen - Hausgebühren</t>
  </si>
  <si>
    <t>Bewirtschaftung der Grund stücke und baulichen Anlagen - Reinigung</t>
  </si>
  <si>
    <t>Bewirtschaftung der Grund stücke und baulichen Anlagen - Versicherungen</t>
  </si>
  <si>
    <t>SN Bewirtschaftung der Grund stücke und baulichen Anlagen - Energie/Strom</t>
  </si>
  <si>
    <t>Bewirtschaftung der Grund stücke und baulichen Anlagen - Gas</t>
  </si>
  <si>
    <t>SN Bewirtschaftung der Grund stücke und baulichen Anlagen - Wasser</t>
  </si>
  <si>
    <t>Unterhaltung des sonstigen beweglichen Vermögens - Betriebs- und Geschäfts ausstattung</t>
  </si>
  <si>
    <t>Unterhaltung des sonstigen beweglichen Vermögens - Betriebsvorrichtungen</t>
  </si>
  <si>
    <t>Aufwendungen für sonstige Sachleistungen - Ver- und Gebrauchsmaterialien</t>
  </si>
  <si>
    <t>Aufwendungen für sonstige Sachleistungen</t>
  </si>
  <si>
    <t>Sonstige Dienstleistungen durch Dritte</t>
  </si>
  <si>
    <t>Zuweisungen und  Zuschüsse für laufende Zwecke an übrige Bereiche - Sonstige</t>
  </si>
  <si>
    <t>Besondere Aufwendungen für Be schäftigte - Fortbildung Dez I</t>
  </si>
  <si>
    <t>Aufwendungen für die freiwillige Feuerwehr</t>
  </si>
  <si>
    <t>Versicherungsbeiträge (ohne KfZ)</t>
  </si>
  <si>
    <t>Abschreibungen auf Sachanlagen und immaterielle Vermögensgegenstände</t>
  </si>
  <si>
    <t>Forderungsverluste</t>
  </si>
  <si>
    <t>i</t>
  </si>
  <si>
    <t>Unterhaltung allgemeiner Fuhrpark (nicht Kostenträger)</t>
  </si>
  <si>
    <t>ks</t>
  </si>
  <si>
    <t>b</t>
  </si>
  <si>
    <t>FW Gebäude alt</t>
  </si>
  <si>
    <t>FW Gebäude neu</t>
  </si>
  <si>
    <t>Gruiten</t>
  </si>
  <si>
    <t>Anteil RD</t>
  </si>
  <si>
    <t>Gesamt</t>
  </si>
  <si>
    <t>Gesamt Haan</t>
  </si>
  <si>
    <t>Anteil Fahrzeuge</t>
  </si>
  <si>
    <t>Anteil Personal</t>
  </si>
  <si>
    <t>davon Fahrzeughalle o. RD</t>
  </si>
  <si>
    <t>Taurus Laufband T9.7</t>
  </si>
  <si>
    <t xml:space="preserve">Ergometer Lifefitness FW C3, 32-4 </t>
  </si>
  <si>
    <t>00002095</t>
  </si>
  <si>
    <t>00003316</t>
  </si>
  <si>
    <t xml:space="preserve">00004965 </t>
  </si>
  <si>
    <t>Hoist PTS-1000 Multipresse</t>
  </si>
  <si>
    <t xml:space="preserve">00004975 </t>
  </si>
  <si>
    <t xml:space="preserve">Taurus Professional Kurzhantel-Trainingssystem </t>
  </si>
  <si>
    <t xml:space="preserve">00002093 </t>
  </si>
  <si>
    <t xml:space="preserve">Rauchdemohaus </t>
  </si>
  <si>
    <t xml:space="preserve">00002098 </t>
  </si>
  <si>
    <t xml:space="preserve">Atemschutzüberwachungstafel Solingen E-30 FW </t>
  </si>
  <si>
    <t xml:space="preserve">00002100 </t>
  </si>
  <si>
    <t xml:space="preserve">Schneidgerät S 270-71 FW </t>
  </si>
  <si>
    <t xml:space="preserve">00002600 </t>
  </si>
  <si>
    <t>Druckschläuche-Set FW</t>
  </si>
  <si>
    <t xml:space="preserve">00002601 </t>
  </si>
  <si>
    <t xml:space="preserve">Atemschutzüberwachungstafel E30 FW </t>
  </si>
  <si>
    <t xml:space="preserve">00005551 </t>
  </si>
  <si>
    <t xml:space="preserve">MicroDock II GasAlert Quatro - Gaswarngerät </t>
  </si>
  <si>
    <t xml:space="preserve">00006633 </t>
  </si>
  <si>
    <t xml:space="preserve">00002597 </t>
  </si>
  <si>
    <t xml:space="preserve">Zugkraftmessgerät Dynamometer 04 FW </t>
  </si>
  <si>
    <t xml:space="preserve">00002598 </t>
  </si>
  <si>
    <t xml:space="preserve">Pressluftatmer+Lungenautomat PSS (1/2) FW </t>
  </si>
  <si>
    <t xml:space="preserve">00004952 </t>
  </si>
  <si>
    <t xml:space="preserve">Set Lungenautomaten </t>
  </si>
  <si>
    <t xml:space="preserve">00004958 </t>
  </si>
  <si>
    <t xml:space="preserve">GasAlert Quattro (Mehrgasmessgerät) </t>
  </si>
  <si>
    <t xml:space="preserve">00005568 </t>
  </si>
  <si>
    <t xml:space="preserve">Set RPS3500 - Atemschutzgerät </t>
  </si>
  <si>
    <t xml:space="preserve">00005721 </t>
  </si>
  <si>
    <t>Quaestor 5000 Standard Prüfgerät für Atemschutz</t>
  </si>
  <si>
    <t xml:space="preserve">00006634 </t>
  </si>
  <si>
    <t xml:space="preserve">Stromerzeuger EISEMANN mit Zubehör </t>
  </si>
  <si>
    <t xml:space="preserve">Anhängeleiter AL 18 GLATZ, 32-4 </t>
  </si>
  <si>
    <t xml:space="preserve">00003130 </t>
  </si>
  <si>
    <t xml:space="preserve">TeamMaster Pro-ET Grundanzug FW </t>
  </si>
  <si>
    <t xml:space="preserve">00002088 </t>
  </si>
  <si>
    <t xml:space="preserve">00005684 </t>
  </si>
  <si>
    <t xml:space="preserve">00005878 </t>
  </si>
  <si>
    <t xml:space="preserve">00006615 </t>
  </si>
  <si>
    <t>ME-HA 204 Plywood-Anhänger Jugendfeuerwehr</t>
  </si>
  <si>
    <t xml:space="preserve">ME-2076 Bindemittelanhänger </t>
  </si>
  <si>
    <t xml:space="preserve">ME-HA 281 Anhängeleiter </t>
  </si>
  <si>
    <t xml:space="preserve">ME-2291 Gerätewagen-Nachschub </t>
  </si>
  <si>
    <t xml:space="preserve">00001128 </t>
  </si>
  <si>
    <t xml:space="preserve">00001129 </t>
  </si>
  <si>
    <t xml:space="preserve">00001130 </t>
  </si>
  <si>
    <t xml:space="preserve">00001132 </t>
  </si>
  <si>
    <t xml:space="preserve">00001133 </t>
  </si>
  <si>
    <t xml:space="preserve">00001135 </t>
  </si>
  <si>
    <t xml:space="preserve">00001137 </t>
  </si>
  <si>
    <t xml:space="preserve">00001138 </t>
  </si>
  <si>
    <t xml:space="preserve">00001150 </t>
  </si>
  <si>
    <t xml:space="preserve">00005154 </t>
  </si>
  <si>
    <t xml:space="preserve">00005155 </t>
  </si>
  <si>
    <t xml:space="preserve">00005726 </t>
  </si>
  <si>
    <t xml:space="preserve">00006570 </t>
  </si>
  <si>
    <t xml:space="preserve">ME-2350  LF 16 I </t>
  </si>
  <si>
    <t xml:space="preserve">ME-2501  Skania LF 16 HLF </t>
  </si>
  <si>
    <t xml:space="preserve">ME-2653  Mercedes 308 D Gefahrgutwagen 1 </t>
  </si>
  <si>
    <t xml:space="preserve">ME-2714  VW T5 KEF (Gerätewagen) </t>
  </si>
  <si>
    <t xml:space="preserve">ME-2860  Mercedes LF 16 </t>
  </si>
  <si>
    <t xml:space="preserve">ME-6180 VW T5 ELW 1 </t>
  </si>
  <si>
    <t xml:space="preserve">ME-HA 2361 Hubsteiger </t>
  </si>
  <si>
    <t xml:space="preserve">ME-2376 Feldküche </t>
  </si>
  <si>
    <t xml:space="preserve">ME-2744 Löschfahrzeug 16/TS </t>
  </si>
  <si>
    <t xml:space="preserve">ME-HA 2432 HLF 20 </t>
  </si>
  <si>
    <t xml:space="preserve">ME-HA 2431 HLF Löschfahrzeug Hauptwache </t>
  </si>
  <si>
    <t xml:space="preserve">00001131 </t>
  </si>
  <si>
    <t xml:space="preserve">ME-2600  M.A.N Rüstwagen RW2 </t>
  </si>
  <si>
    <t xml:space="preserve">00005584 </t>
  </si>
  <si>
    <t xml:space="preserve">ME-HA 2102 Kommandowagen </t>
  </si>
  <si>
    <t xml:space="preserve">00001127 </t>
  </si>
  <si>
    <t xml:space="preserve">00001136 </t>
  </si>
  <si>
    <t xml:space="preserve">00006565 </t>
  </si>
  <si>
    <t>Abstützsystem Paratech zu Rüstwagen</t>
  </si>
  <si>
    <t xml:space="preserve">00006614 </t>
  </si>
  <si>
    <t xml:space="preserve">00002101 </t>
  </si>
  <si>
    <t xml:space="preserve">00002602 </t>
  </si>
  <si>
    <t xml:space="preserve">00003315 </t>
  </si>
  <si>
    <t xml:space="preserve">00004981 </t>
  </si>
  <si>
    <t xml:space="preserve">00005575 </t>
  </si>
  <si>
    <t xml:space="preserve">00005576 </t>
  </si>
  <si>
    <t xml:space="preserve">00005724 </t>
  </si>
  <si>
    <t>Hochdruckreiniger HDS 695M ECO FW</t>
  </si>
  <si>
    <t>Akkuladestation Powerhouse Tuck Mount FW</t>
  </si>
  <si>
    <t xml:space="preserve">Scheuersaugmaschine Hakomatic B45 CL, 32-4 </t>
  </si>
  <si>
    <t xml:space="preserve">Fahrgerüst aus Aluminium </t>
  </si>
  <si>
    <t xml:space="preserve">Ladeautomatik Thyra 230 V (1/2) </t>
  </si>
  <si>
    <t xml:space="preserve">Ladeautomatik Thyra 230 V (2/2) </t>
  </si>
  <si>
    <t xml:space="preserve">Achstraverse ATB-14 (Zapfen D55) </t>
  </si>
  <si>
    <t xml:space="preserve">00002089 </t>
  </si>
  <si>
    <t xml:space="preserve">00004977 </t>
  </si>
  <si>
    <t xml:space="preserve">00004983 </t>
  </si>
  <si>
    <t xml:space="preserve">00004984 </t>
  </si>
  <si>
    <t xml:space="preserve">00005569 </t>
  </si>
  <si>
    <t xml:space="preserve">Bodenauffangwanne 168l mit Rost Feuerwehr </t>
  </si>
  <si>
    <t xml:space="preserve">MIG Inverter Fabricatpr 18li Schweißgerät </t>
  </si>
  <si>
    <t xml:space="preserve">Hochleistungslüfter Tempset BD 21-H6 </t>
  </si>
  <si>
    <t xml:space="preserve">00002595 </t>
  </si>
  <si>
    <t xml:space="preserve">00002596 </t>
  </si>
  <si>
    <t xml:space="preserve">00003119 </t>
  </si>
  <si>
    <t xml:space="preserve">00004959 </t>
  </si>
  <si>
    <t xml:space="preserve">00004960 </t>
  </si>
  <si>
    <t xml:space="preserve">Motorsäge MS 260 (1/2) Freiw FW </t>
  </si>
  <si>
    <t>Motorsäge MS 260 (2/2) Freiw. FW</t>
  </si>
  <si>
    <t xml:space="preserve">Motorsäge MS 440, 32-4 </t>
  </si>
  <si>
    <t>Motorsäge MS 441</t>
  </si>
  <si>
    <t xml:space="preserve">Motorsäge MS 271 </t>
  </si>
  <si>
    <t xml:space="preserve">00005723 </t>
  </si>
  <si>
    <t>Tische</t>
  </si>
  <si>
    <t>Stühle</t>
  </si>
  <si>
    <t>Schränke/Regale</t>
  </si>
  <si>
    <t>Küchen</t>
  </si>
  <si>
    <t>Küchengroßgeräte</t>
  </si>
  <si>
    <t>Sonstige Ausstattung</t>
  </si>
  <si>
    <t>2011</t>
  </si>
  <si>
    <t>2009</t>
  </si>
  <si>
    <t>Computer</t>
  </si>
  <si>
    <t>Server</t>
  </si>
  <si>
    <t>Laptops</t>
  </si>
  <si>
    <t>Verteilung</t>
  </si>
  <si>
    <t>Sonstige Hardware</t>
  </si>
  <si>
    <t>Software</t>
  </si>
  <si>
    <t>Software/Lizenzen</t>
  </si>
  <si>
    <t>2014</t>
  </si>
  <si>
    <t>Audio-/Fernsehgeräte</t>
  </si>
  <si>
    <t>Projektionsgeräte</t>
  </si>
  <si>
    <t>Mobilfunkgeräte</t>
  </si>
  <si>
    <t>2010</t>
  </si>
  <si>
    <t>1997</t>
  </si>
  <si>
    <t>1967</t>
  </si>
  <si>
    <t>Neubau Feuerwehr PPP</t>
  </si>
  <si>
    <t>Außenanlage PPP</t>
  </si>
  <si>
    <t>befestigte Außenflächen PPP</t>
  </si>
  <si>
    <t>Neubau Feuerwehr (KT Stadt Haan)</t>
  </si>
  <si>
    <t>Fertiggarage</t>
  </si>
  <si>
    <t>Gerätehaus</t>
  </si>
  <si>
    <t>Feuerwehrgebäude</t>
  </si>
  <si>
    <t>Außenanlage</t>
  </si>
  <si>
    <t>Telekomm.anlage PPP</t>
  </si>
  <si>
    <t>Such-/Signalanlage PPP</t>
  </si>
  <si>
    <t>Zeitdienstanlage PPP</t>
  </si>
  <si>
    <t>Elektroakustische Anlage PPP</t>
  </si>
  <si>
    <t>Fernseh-/Antennenanlage PPP</t>
  </si>
  <si>
    <t>Alarmanlage PPP</t>
  </si>
  <si>
    <t>Informationstechnische Anlage PPP</t>
  </si>
  <si>
    <t>Gebäudeautomation Netzwerk PPP</t>
  </si>
  <si>
    <t>Übertragungsnetz PPP</t>
  </si>
  <si>
    <t>Schlüsselmanagementsystem PPP</t>
  </si>
  <si>
    <t>Leitstellenzentrale PPP</t>
  </si>
  <si>
    <t>Feuerwehrgebäude Gruiten</t>
  </si>
  <si>
    <t>Außenanlage Gruiten</t>
  </si>
  <si>
    <t>Werkstatt-/FW-Einrichtung PPP</t>
  </si>
  <si>
    <t>Anteil FW</t>
  </si>
  <si>
    <t>Gesamtbetrag</t>
  </si>
  <si>
    <t>Wert Anteil FW</t>
  </si>
  <si>
    <t>Quadratmeter gesamt</t>
  </si>
  <si>
    <t>Quadratmeter FW gesamt</t>
  </si>
  <si>
    <t>qm Fahrzeuge</t>
  </si>
  <si>
    <t>qm Personal</t>
  </si>
  <si>
    <t>Gesamt FW</t>
  </si>
  <si>
    <t>Gesamt %</t>
  </si>
  <si>
    <t>Gesamt qm FW</t>
  </si>
  <si>
    <t>Gesamt qm FW %</t>
  </si>
  <si>
    <t>PLATZHALTER FÜR EIGENE VERTEILERSCHLÜSSEL</t>
  </si>
  <si>
    <t>Brutto inkl. Zulagen, Rückstellungen, etc</t>
  </si>
  <si>
    <t>prozentuale jährl. Steigerung</t>
  </si>
  <si>
    <t>IST</t>
  </si>
  <si>
    <t>PLAN</t>
  </si>
  <si>
    <t>Summe mitl. Dienst bis A8</t>
  </si>
  <si>
    <t>Summe mitl. Dienst bis A9 / A9Z</t>
  </si>
  <si>
    <t>Arbeitsstunden je MA</t>
  </si>
  <si>
    <t>Gesamtmannarbeitsstunden</t>
  </si>
  <si>
    <t>Direkte Kosten</t>
  </si>
  <si>
    <t>Personalkosten SOLL</t>
  </si>
  <si>
    <t>+Arbeitsplatzkosten ohne Büro / EDV</t>
  </si>
  <si>
    <t>Stellen</t>
  </si>
  <si>
    <t>Zuschlag</t>
  </si>
  <si>
    <t>+Arbeitsplatzkosten Büro/EDV</t>
  </si>
  <si>
    <t>Zuschlag Verwaltungsgemeinkosten (15% der PK-Kosten)</t>
  </si>
  <si>
    <t>Zwischensumme direkte Kosten</t>
  </si>
  <si>
    <t>Durchschnittskosten pro Einsatzkraft pro Stunde</t>
  </si>
  <si>
    <t>1) Verwaltungsinterne Vorgabe/Datenerhebung der Gemeinde</t>
  </si>
  <si>
    <t>2) Bei einem Arbeitsplatz ohne EDV und Büro sind 10 % der Personalkosten anzusetzen</t>
  </si>
  <si>
    <t xml:space="preserve">    (siehe KGSt-Bericht 16/2015)</t>
  </si>
  <si>
    <t>3) Die Sachkostenpauschale je EDV-Ausstattung bei einem Nicht-Büro-Arbeitsplatz beträgt 3.450 € pro Jahr</t>
  </si>
  <si>
    <t xml:space="preserve">    (siehe KGSt-Bericht 16/2015); FW-spezifische Abweichungen sind nicht bekannt</t>
  </si>
  <si>
    <t xml:space="preserve">4) Bei einem Nicht-Büro-Arbeitsplatz beträgt der VerwaltungsGKZ 15 % der Personalkosten </t>
  </si>
  <si>
    <t>5) Verwaltungsinterne Vorgabe/Datenerhebung der Gemeinde</t>
  </si>
  <si>
    <t>Erläuterungen:</t>
  </si>
  <si>
    <t>1)</t>
  </si>
  <si>
    <t>2)</t>
  </si>
  <si>
    <t>3)</t>
  </si>
  <si>
    <t xml:space="preserve">    1 Wachen mit jeweils 1 EDV-Ausstattung</t>
  </si>
  <si>
    <t>4)</t>
  </si>
  <si>
    <t>5)</t>
  </si>
  <si>
    <t>http://oeffentlicher-dienst.info/beamte/nw/</t>
  </si>
  <si>
    <t>Freiwillige Feuerwehr</t>
  </si>
  <si>
    <t>Zuschlagssatz</t>
  </si>
  <si>
    <t>Grund+Boden gesamt ohne RD</t>
  </si>
  <si>
    <t>direkte Kosten</t>
  </si>
  <si>
    <t>Unterhaltung</t>
  </si>
  <si>
    <t>Versicherung/ Steuern</t>
  </si>
  <si>
    <t>Einsatz-km</t>
  </si>
  <si>
    <t>Unterhaltung Kleinmaschinen (nicht Kostenträger) + nicht einsatzbezogene Fahrten</t>
  </si>
  <si>
    <t>Fahrzeug</t>
  </si>
  <si>
    <t>Gesamtkosten Diesel</t>
  </si>
  <si>
    <t>allg. Fahrten Diesel</t>
  </si>
  <si>
    <t>Einsatzfahrten Diesel</t>
  </si>
  <si>
    <t>geh. Dienst BF</t>
  </si>
  <si>
    <t>höh. Dienst BF</t>
  </si>
  <si>
    <t>Höherer Dienst</t>
  </si>
  <si>
    <t>geh. Dienst</t>
  </si>
  <si>
    <t>Stellenanteil</t>
  </si>
  <si>
    <t>Mittlerer Dienst</t>
  </si>
  <si>
    <t>gehobener Dienst</t>
  </si>
  <si>
    <t>Stunden</t>
  </si>
  <si>
    <t>höherer Dienst</t>
  </si>
  <si>
    <t>allgemeine Verwaltung</t>
  </si>
  <si>
    <t>mittl. Dienst BF</t>
  </si>
  <si>
    <t>Zuschuss-schalter Afa</t>
  </si>
  <si>
    <t xml:space="preserve">Messtruppkoffer GW-G mit PErsonendosimeter ED </t>
  </si>
  <si>
    <t>MEHRSI-DopPElstufen-Stehleiter (1/2)</t>
  </si>
  <si>
    <t xml:space="preserve">MEHRSI-DopPElstufen-Stehleiter (2/2) </t>
  </si>
  <si>
    <t xml:space="preserve">WL 850 CSA WassersPEnder </t>
  </si>
  <si>
    <t>PEripheriegeräte</t>
  </si>
  <si>
    <t>mit AB Wasser</t>
  </si>
  <si>
    <t xml:space="preserve">ME-2200 MTF II </t>
  </si>
  <si>
    <t xml:space="preserve">ME-2856  VW T5 MTF I </t>
  </si>
  <si>
    <t xml:space="preserve">ME-HA 2192 VW T5 MTF </t>
  </si>
  <si>
    <t>ME-2200</t>
  </si>
  <si>
    <t>ME-2856</t>
  </si>
  <si>
    <t>ME-6180</t>
  </si>
  <si>
    <t>ME-HA 2102</t>
  </si>
  <si>
    <t>ME-HA 2192</t>
  </si>
  <si>
    <t>MTF-2</t>
  </si>
  <si>
    <t>MTF-1</t>
  </si>
  <si>
    <t>ELW-1</t>
  </si>
  <si>
    <t>VW-MTW</t>
  </si>
  <si>
    <t>Kilometerleistung</t>
  </si>
  <si>
    <t>Kraftstoffmenge</t>
  </si>
  <si>
    <t>Kraftstoffkosten</t>
  </si>
  <si>
    <t>Preis / Liter</t>
  </si>
  <si>
    <t>Durchschnittsverbrauch</t>
  </si>
  <si>
    <t>Zwischensumme</t>
  </si>
  <si>
    <t>aller MTW</t>
  </si>
  <si>
    <t>Gesamt-km</t>
  </si>
  <si>
    <t>Verbrauch l/ 100 km</t>
  </si>
  <si>
    <t>Abrollbehälter Mulde</t>
  </si>
  <si>
    <t>AB Mulde</t>
  </si>
  <si>
    <t>Abrollbehälter Wasser/Schaum</t>
  </si>
  <si>
    <t>AB Wasser</t>
  </si>
  <si>
    <t>ME-2655  M.A.N WLF</t>
  </si>
  <si>
    <t>Rest</t>
  </si>
  <si>
    <t>Jugendfeuerwehr</t>
  </si>
  <si>
    <t>Scheune</t>
  </si>
  <si>
    <t>Alarmhalle 1</t>
  </si>
  <si>
    <t>Alarmhalle 3</t>
  </si>
  <si>
    <t>Fahrzeughalle neu</t>
  </si>
  <si>
    <t xml:space="preserve">00001133.1 </t>
  </si>
  <si>
    <t xml:space="preserve">00001133.2 </t>
  </si>
  <si>
    <t>Löschgruppenfahrzeug LF 16 TS</t>
  </si>
  <si>
    <t>Löschgruppenfahrzeug LF 20</t>
  </si>
  <si>
    <t>ME-HA 2452</t>
  </si>
  <si>
    <r>
      <t xml:space="preserve">Unterhaltung von Fahrzeugen </t>
    </r>
    <r>
      <rPr>
        <vertAlign val="superscript"/>
        <sz val="10"/>
        <color indexed="8"/>
        <rFont val="Arial"/>
        <family val="2"/>
      </rPr>
      <t>1)</t>
    </r>
  </si>
  <si>
    <r>
      <t xml:space="preserve">Bewirtschaftung von Fahrzeugen - Sonstige </t>
    </r>
    <r>
      <rPr>
        <vertAlign val="superscript"/>
        <sz val="10"/>
        <color indexed="8"/>
        <rFont val="Arial"/>
        <family val="2"/>
      </rPr>
      <t>2)</t>
    </r>
  </si>
  <si>
    <r>
      <t xml:space="preserve">SN Bewirtschaftung von KfZ - Versicherung/Steuern </t>
    </r>
    <r>
      <rPr>
        <vertAlign val="superscript"/>
        <sz val="10"/>
        <color indexed="8"/>
        <rFont val="Arial"/>
        <family val="2"/>
      </rPr>
      <t>3)</t>
    </r>
  </si>
  <si>
    <t>KT</t>
  </si>
  <si>
    <t>Vorlage</t>
  </si>
  <si>
    <t>Indices</t>
  </si>
  <si>
    <t>Berechnung qm</t>
  </si>
  <si>
    <t>Berechnung Personal</t>
  </si>
  <si>
    <t>Korrektur Dieselkosten</t>
  </si>
  <si>
    <t xml:space="preserve">Durchschnittspreis je Liter: 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</si>
</sst>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00%"/>
    <numFmt numFmtId="166" formatCode="0.0"/>
    <numFmt numFmtId="167" formatCode="0.000"/>
    <numFmt numFmtId="168" formatCode="#,##0.00\ &quot;€&quot;"/>
    <numFmt numFmtId="169" formatCode="#,##0.00\ _€"/>
  </numFmts>
  <fonts count="29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u/>
      <sz val="10"/>
      <color indexed="8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vertAlign val="superscript"/>
      <sz val="10"/>
      <color indexed="8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 applyFill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" fillId="0" borderId="0" applyFill="0" applyProtection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44" fontId="15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27">
    <xf numFmtId="0" fontId="0" fillId="0" borderId="0" xfId="0" applyFill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8" applyFill="1" applyProtection="1"/>
    <xf numFmtId="0" fontId="10" fillId="0" borderId="0" xfId="10"/>
    <xf numFmtId="0" fontId="4" fillId="0" borderId="0" xfId="8" applyFont="1" applyFill="1" applyBorder="1" applyAlignment="1" applyProtection="1">
      <alignment horizontal="center" vertical="center" wrapText="1"/>
    </xf>
    <xf numFmtId="44" fontId="4" fillId="0" borderId="0" xfId="8" applyNumberFormat="1" applyFill="1" applyProtection="1"/>
    <xf numFmtId="0" fontId="4" fillId="0" borderId="0" xfId="8" applyFill="1" applyAlignment="1" applyProtection="1">
      <alignment horizontal="center"/>
    </xf>
    <xf numFmtId="0" fontId="4" fillId="0" borderId="0" xfId="0" applyFont="1" applyFill="1" applyProtection="1"/>
    <xf numFmtId="0" fontId="6" fillId="0" borderId="1" xfId="0" applyFont="1" applyFill="1" applyBorder="1" applyProtection="1"/>
    <xf numFmtId="0" fontId="4" fillId="0" borderId="0" xfId="0" applyFont="1" applyFill="1" applyBorder="1" applyProtection="1"/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43" fontId="0" fillId="0" borderId="0" xfId="0" applyNumberFormat="1" applyFill="1" applyProtection="1"/>
    <xf numFmtId="0" fontId="6" fillId="0" borderId="0" xfId="0" applyFont="1" applyFill="1" applyProtection="1"/>
    <xf numFmtId="0" fontId="11" fillId="3" borderId="1" xfId="1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10" fontId="12" fillId="3" borderId="1" xfId="5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1" xfId="1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165" fontId="13" fillId="0" borderId="1" xfId="5" applyNumberFormat="1" applyFont="1" applyBorder="1" applyAlignment="1">
      <alignment horizontal="center"/>
    </xf>
    <xf numFmtId="10" fontId="13" fillId="0" borderId="1" xfId="5" applyNumberFormat="1" applyFont="1" applyBorder="1"/>
    <xf numFmtId="10" fontId="3" fillId="0" borderId="0" xfId="5" applyNumberFormat="1" applyFont="1"/>
    <xf numFmtId="10" fontId="13" fillId="0" borderId="1" xfId="5" applyNumberFormat="1" applyFont="1" applyBorder="1" applyAlignment="1">
      <alignment horizontal="center"/>
    </xf>
    <xf numFmtId="43" fontId="3" fillId="0" borderId="0" xfId="3" applyFont="1"/>
    <xf numFmtId="10" fontId="0" fillId="0" borderId="0" xfId="0" applyNumberFormat="1"/>
    <xf numFmtId="167" fontId="0" fillId="0" borderId="0" xfId="0" applyNumberFormat="1"/>
    <xf numFmtId="0" fontId="4" fillId="0" borderId="0" xfId="0" applyNumberFormat="1" applyFont="1" applyFill="1" applyAlignment="1" applyProtection="1">
      <alignment horizontal="center" vertical="center"/>
    </xf>
    <xf numFmtId="10" fontId="4" fillId="0" borderId="0" xfId="4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0" fontId="4" fillId="0" borderId="1" xfId="4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10" fontId="6" fillId="0" borderId="1" xfId="4" applyNumberFormat="1" applyFont="1" applyFill="1" applyBorder="1" applyAlignment="1" applyProtection="1">
      <alignment horizontal="center" vertical="center"/>
    </xf>
    <xf numFmtId="43" fontId="4" fillId="2" borderId="1" xfId="2" applyFont="1" applyFill="1" applyBorder="1" applyAlignment="1" applyProtection="1">
      <alignment horizontal="left" vertical="center"/>
    </xf>
    <xf numFmtId="43" fontId="4" fillId="0" borderId="1" xfId="2" applyFont="1" applyFill="1" applyBorder="1" applyAlignment="1" applyProtection="1">
      <alignment horizontal="center" vertical="center"/>
    </xf>
    <xf numFmtId="43" fontId="6" fillId="0" borderId="1" xfId="2" applyFont="1" applyFill="1" applyBorder="1" applyAlignment="1" applyProtection="1">
      <alignment horizontal="center" vertical="center"/>
    </xf>
    <xf numFmtId="10" fontId="4" fillId="0" borderId="1" xfId="4" applyNumberFormat="1" applyFont="1" applyFill="1" applyBorder="1" applyAlignment="1" applyProtection="1">
      <alignment horizontal="right" vertical="center"/>
    </xf>
    <xf numFmtId="0" fontId="6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6" fillId="0" borderId="0" xfId="8" applyFont="1" applyFill="1" applyProtection="1"/>
    <xf numFmtId="0" fontId="14" fillId="3" borderId="1" xfId="8" applyFont="1" applyFill="1" applyBorder="1" applyAlignment="1" applyProtection="1">
      <alignment horizontal="center" vertical="center"/>
    </xf>
    <xf numFmtId="0" fontId="14" fillId="3" borderId="1" xfId="8" applyFont="1" applyFill="1" applyBorder="1" applyAlignment="1" applyProtection="1">
      <alignment horizontal="center" vertical="center" wrapText="1"/>
    </xf>
    <xf numFmtId="43" fontId="4" fillId="0" borderId="1" xfId="2" applyFont="1" applyFill="1" applyBorder="1" applyAlignment="1" applyProtection="1">
      <alignment horizontal="right" vertical="center"/>
    </xf>
    <xf numFmtId="0" fontId="6" fillId="0" borderId="1" xfId="8" applyFont="1" applyFill="1" applyBorder="1" applyProtection="1"/>
    <xf numFmtId="0" fontId="6" fillId="0" borderId="1" xfId="8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 wrapText="1"/>
    </xf>
    <xf numFmtId="0" fontId="6" fillId="3" borderId="1" xfId="0" applyFont="1" applyFill="1" applyBorder="1" applyAlignment="1" applyProtection="1">
      <alignment horizontal="center"/>
    </xf>
    <xf numFmtId="10" fontId="4" fillId="0" borderId="0" xfId="4" applyNumberFormat="1" applyFont="1" applyFill="1" applyProtection="1"/>
    <xf numFmtId="0" fontId="0" fillId="0" borderId="1" xfId="0" applyFill="1" applyBorder="1" applyProtection="1"/>
    <xf numFmtId="43" fontId="0" fillId="0" borderId="1" xfId="2" applyFont="1" applyFill="1" applyBorder="1" applyProtection="1"/>
    <xf numFmtId="43" fontId="0" fillId="0" borderId="1" xfId="0" applyNumberFormat="1" applyFill="1" applyBorder="1" applyProtection="1"/>
    <xf numFmtId="0" fontId="4" fillId="0" borderId="1" xfId="0" applyFont="1" applyFill="1" applyBorder="1" applyProtection="1"/>
    <xf numFmtId="0" fontId="6" fillId="0" borderId="1" xfId="0" applyFont="1" applyFill="1" applyBorder="1" applyAlignment="1" applyProtection="1">
      <alignment horizontal="center"/>
    </xf>
    <xf numFmtId="43" fontId="6" fillId="0" borderId="1" xfId="2" applyFont="1" applyFill="1" applyBorder="1" applyProtection="1"/>
    <xf numFmtId="43" fontId="6" fillId="0" borderId="1" xfId="0" applyNumberFormat="1" applyFont="1" applyFill="1" applyBorder="1" applyProtection="1"/>
    <xf numFmtId="9" fontId="0" fillId="0" borderId="1" xfId="4" applyFont="1" applyFill="1" applyBorder="1" applyProtection="1"/>
    <xf numFmtId="10" fontId="0" fillId="0" borderId="1" xfId="4" applyNumberFormat="1" applyFont="1" applyFill="1" applyBorder="1" applyProtection="1"/>
    <xf numFmtId="9" fontId="7" fillId="0" borderId="1" xfId="4" applyFont="1" applyFill="1" applyBorder="1" applyProtection="1"/>
    <xf numFmtId="43" fontId="4" fillId="0" borderId="1" xfId="2" applyFont="1" applyFill="1" applyBorder="1" applyAlignment="1" applyProtection="1">
      <alignment horizontal="center"/>
    </xf>
    <xf numFmtId="43" fontId="4" fillId="0" borderId="1" xfId="4" applyNumberFormat="1" applyFont="1" applyFill="1" applyBorder="1" applyProtection="1"/>
    <xf numFmtId="43" fontId="6" fillId="0" borderId="1" xfId="4" applyNumberFormat="1" applyFont="1" applyFill="1" applyBorder="1" applyProtection="1"/>
    <xf numFmtId="10" fontId="6" fillId="0" borderId="1" xfId="0" applyNumberFormat="1" applyFont="1" applyFill="1" applyBorder="1" applyProtection="1"/>
    <xf numFmtId="0" fontId="0" fillId="0" borderId="2" xfId="0" applyFill="1" applyBorder="1" applyProtection="1"/>
    <xf numFmtId="0" fontId="0" fillId="0" borderId="0" xfId="0" applyFill="1" applyBorder="1" applyProtection="1"/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quotePrefix="1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/>
    </xf>
    <xf numFmtId="10" fontId="6" fillId="3" borderId="1" xfId="4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right" vertical="center"/>
    </xf>
    <xf numFmtId="43" fontId="6" fillId="0" borderId="1" xfId="0" applyNumberFormat="1" applyFont="1" applyFill="1" applyBorder="1" applyAlignment="1" applyProtection="1">
      <alignment horizontal="center" vertical="center"/>
    </xf>
    <xf numFmtId="44" fontId="0" fillId="0" borderId="0" xfId="14" applyFont="1"/>
    <xf numFmtId="44" fontId="0" fillId="0" borderId="0" xfId="0" applyNumberFormat="1"/>
    <xf numFmtId="43" fontId="0" fillId="0" borderId="0" xfId="2" applyFont="1" applyFill="1" applyProtection="1"/>
    <xf numFmtId="9" fontId="0" fillId="0" borderId="0" xfId="0" applyNumberFormat="1" applyFill="1" applyProtection="1"/>
    <xf numFmtId="43" fontId="4" fillId="0" borderId="0" xfId="0" applyNumberFormat="1" applyFont="1" applyFill="1" applyAlignment="1" applyProtection="1">
      <alignment horizontal="center" vertical="center"/>
    </xf>
    <xf numFmtId="43" fontId="6" fillId="0" borderId="1" xfId="2" applyFont="1" applyFill="1" applyBorder="1" applyAlignment="1" applyProtection="1">
      <alignment horizontal="right" vertical="center"/>
    </xf>
    <xf numFmtId="44" fontId="0" fillId="0" borderId="1" xfId="14" applyFont="1" applyFill="1" applyBorder="1" applyProtection="1"/>
    <xf numFmtId="10" fontId="0" fillId="0" borderId="0" xfId="4" applyNumberFormat="1" applyFont="1"/>
    <xf numFmtId="0" fontId="16" fillId="0" borderId="0" xfId="15"/>
    <xf numFmtId="10" fontId="7" fillId="0" borderId="1" xfId="4" applyNumberFormat="1" applyFont="1" applyFill="1" applyBorder="1" applyProtection="1"/>
    <xf numFmtId="0" fontId="6" fillId="3" borderId="1" xfId="0" applyFont="1" applyFill="1" applyBorder="1" applyAlignment="1" applyProtection="1">
      <alignment horizontal="center" vertical="center" wrapText="1"/>
    </xf>
    <xf numFmtId="0" fontId="17" fillId="0" borderId="0" xfId="0" applyFont="1"/>
    <xf numFmtId="0" fontId="0" fillId="0" borderId="0" xfId="0" applyFill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wrapText="1"/>
    </xf>
    <xf numFmtId="0" fontId="6" fillId="0" borderId="1" xfId="0" applyFont="1" applyFill="1" applyBorder="1" applyAlignment="1" applyProtection="1">
      <alignment wrapText="1"/>
    </xf>
    <xf numFmtId="43" fontId="0" fillId="0" borderId="1" xfId="2" applyNumberFormat="1" applyFont="1" applyFill="1" applyBorder="1" applyProtection="1"/>
    <xf numFmtId="49" fontId="14" fillId="3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</xf>
    <xf numFmtId="49" fontId="6" fillId="0" borderId="0" xfId="0" applyNumberFormat="1" applyFont="1" applyFill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Fill="1" applyAlignment="1" applyProtection="1">
      <alignment horizontal="left" vertical="center" wrapText="1"/>
    </xf>
    <xf numFmtId="44" fontId="14" fillId="3" borderId="1" xfId="14" applyFont="1" applyFill="1" applyBorder="1" applyAlignment="1" applyProtection="1">
      <alignment horizontal="center" vertical="center" wrapText="1"/>
    </xf>
    <xf numFmtId="44" fontId="4" fillId="0" borderId="1" xfId="14" applyFont="1" applyFill="1" applyBorder="1" applyAlignment="1" applyProtection="1">
      <alignment horizontal="center" vertical="center"/>
    </xf>
    <xf numFmtId="44" fontId="6" fillId="0" borderId="1" xfId="14" applyFont="1" applyFill="1" applyBorder="1" applyAlignment="1" applyProtection="1">
      <alignment horizontal="center" vertical="center"/>
    </xf>
    <xf numFmtId="44" fontId="4" fillId="0" borderId="0" xfId="14" applyFont="1" applyFill="1" applyAlignment="1" applyProtection="1">
      <alignment horizontal="center" vertical="center"/>
    </xf>
    <xf numFmtId="44" fontId="6" fillId="3" borderId="1" xfId="14" applyFont="1" applyFill="1" applyBorder="1" applyAlignment="1" applyProtection="1">
      <alignment horizontal="center" vertical="center"/>
    </xf>
    <xf numFmtId="43" fontId="10" fillId="0" borderId="1" xfId="2" applyFont="1" applyFill="1" applyBorder="1"/>
    <xf numFmtId="0" fontId="4" fillId="0" borderId="0" xfId="0" applyFont="1" applyFill="1" applyAlignment="1" applyProtection="1">
      <alignment horizontal="left" indent="1"/>
    </xf>
    <xf numFmtId="0" fontId="6" fillId="2" borderId="1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/>
    </xf>
    <xf numFmtId="0" fontId="14" fillId="0" borderId="1" xfId="8" applyFont="1" applyFill="1" applyBorder="1" applyAlignment="1" applyProtection="1">
      <alignment horizontal="center" vertical="center"/>
    </xf>
    <xf numFmtId="0" fontId="14" fillId="0" borderId="1" xfId="8" applyFont="1" applyFill="1" applyBorder="1" applyAlignment="1" applyProtection="1">
      <alignment horizontal="left" vertical="center" wrapText="1"/>
    </xf>
    <xf numFmtId="0" fontId="14" fillId="0" borderId="1" xfId="8" applyFont="1" applyFill="1" applyBorder="1" applyAlignment="1" applyProtection="1">
      <alignment horizontal="center" vertical="center" wrapText="1"/>
    </xf>
    <xf numFmtId="168" fontId="0" fillId="0" borderId="0" xfId="0" applyNumberFormat="1"/>
    <xf numFmtId="44" fontId="0" fillId="0" borderId="0" xfId="14" applyFont="1" applyFill="1" applyProtection="1"/>
    <xf numFmtId="168" fontId="6" fillId="0" borderId="0" xfId="0" applyNumberFormat="1" applyFont="1" applyFill="1" applyProtection="1"/>
    <xf numFmtId="168" fontId="6" fillId="0" borderId="0" xfId="0" applyNumberFormat="1" applyFont="1"/>
    <xf numFmtId="164" fontId="0" fillId="0" borderId="0" xfId="2" applyNumberFormat="1" applyFont="1" applyFill="1" applyProtection="1"/>
    <xf numFmtId="0" fontId="4" fillId="0" borderId="0" xfId="0" quotePrefix="1" applyFont="1" applyFill="1" applyAlignment="1" applyProtection="1">
      <alignment horizontal="left" indent="1"/>
    </xf>
    <xf numFmtId="44" fontId="0" fillId="0" borderId="0" xfId="0" applyNumberFormat="1" applyFill="1" applyProtection="1"/>
    <xf numFmtId="44" fontId="6" fillId="0" borderId="0" xfId="0" applyNumberFormat="1" applyFont="1" applyFill="1" applyProtection="1"/>
    <xf numFmtId="164" fontId="0" fillId="0" borderId="0" xfId="0" applyNumberFormat="1" applyFill="1" applyProtection="1"/>
    <xf numFmtId="44" fontId="6" fillId="0" borderId="0" xfId="14" applyFont="1" applyFill="1" applyProtection="1"/>
    <xf numFmtId="0" fontId="18" fillId="0" borderId="0" xfId="0" applyFont="1" applyBorder="1" applyAlignment="1">
      <alignment horizontal="right"/>
    </xf>
    <xf numFmtId="0" fontId="20" fillId="0" borderId="0" xfId="0" applyFont="1" applyFill="1" applyProtection="1"/>
    <xf numFmtId="44" fontId="6" fillId="0" borderId="5" xfId="14" applyFont="1" applyFill="1" applyBorder="1" applyProtection="1"/>
    <xf numFmtId="0" fontId="16" fillId="0" borderId="0" xfId="15" applyFill="1" applyProtection="1"/>
    <xf numFmtId="0" fontId="6" fillId="3" borderId="1" xfId="0" applyFont="1" applyFill="1" applyBorder="1" applyAlignment="1" applyProtection="1">
      <alignment wrapText="1"/>
    </xf>
    <xf numFmtId="10" fontId="0" fillId="0" borderId="1" xfId="0" applyNumberFormat="1" applyFill="1" applyBorder="1" applyProtection="1"/>
    <xf numFmtId="0" fontId="4" fillId="0" borderId="1" xfId="0" applyFont="1" applyFill="1" applyBorder="1" applyAlignment="1" applyProtection="1">
      <alignment horizontal="left" indent="2"/>
    </xf>
    <xf numFmtId="10" fontId="6" fillId="0" borderId="1" xfId="4" applyNumberFormat="1" applyFont="1" applyFill="1" applyBorder="1" applyProtection="1"/>
    <xf numFmtId="0" fontId="6" fillId="3" borderId="0" xfId="0" applyFont="1" applyFill="1" applyProtection="1"/>
    <xf numFmtId="0" fontId="0" fillId="3" borderId="0" xfId="0" applyFill="1" applyProtection="1"/>
    <xf numFmtId="0" fontId="16" fillId="0" borderId="0" xfId="15" applyFill="1" applyBorder="1" applyProtection="1"/>
    <xf numFmtId="0" fontId="4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4" fontId="21" fillId="0" borderId="1" xfId="0" applyNumberFormat="1" applyFont="1" applyBorder="1"/>
    <xf numFmtId="168" fontId="0" fillId="0" borderId="0" xfId="0" applyNumberFormat="1" applyFill="1" applyProtection="1"/>
    <xf numFmtId="3" fontId="0" fillId="0" borderId="0" xfId="0" applyNumberFormat="1" applyFill="1" applyProtection="1"/>
    <xf numFmtId="169" fontId="0" fillId="0" borderId="0" xfId="0" applyNumberFormat="1" applyFill="1" applyProtection="1"/>
    <xf numFmtId="4" fontId="0" fillId="0" borderId="0" xfId="0" applyNumberFormat="1" applyFill="1" applyProtection="1"/>
    <xf numFmtId="4" fontId="21" fillId="0" borderId="1" xfId="0" applyNumberFormat="1" applyFont="1" applyBorder="1" applyAlignment="1">
      <alignment horizontal="center"/>
    </xf>
    <xf numFmtId="43" fontId="0" fillId="0" borderId="8" xfId="0" applyNumberFormat="1" applyFill="1" applyBorder="1" applyProtection="1"/>
    <xf numFmtId="43" fontId="0" fillId="0" borderId="8" xfId="2" applyFont="1" applyFill="1" applyBorder="1" applyProtection="1"/>
    <xf numFmtId="43" fontId="0" fillId="0" borderId="0" xfId="2" applyFont="1" applyFill="1" applyBorder="1" applyProtection="1"/>
    <xf numFmtId="43" fontId="0" fillId="0" borderId="1" xfId="2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43" fontId="0" fillId="0" borderId="0" xfId="2" applyFont="1" applyFill="1" applyBorder="1" applyAlignment="1" applyProtection="1">
      <alignment horizontal="center"/>
    </xf>
    <xf numFmtId="2" fontId="0" fillId="0" borderId="0" xfId="0" applyNumberFormat="1" applyFill="1" applyProtection="1"/>
    <xf numFmtId="10" fontId="0" fillId="0" borderId="0" xfId="4" applyNumberFormat="1" applyFont="1" applyFill="1" applyProtection="1"/>
    <xf numFmtId="0" fontId="22" fillId="0" borderId="0" xfId="0" applyFont="1" applyFill="1" applyProtection="1"/>
    <xf numFmtId="4" fontId="22" fillId="0" borderId="0" xfId="0" applyNumberFormat="1" applyFont="1" applyFill="1" applyProtection="1"/>
    <xf numFmtId="2" fontId="22" fillId="0" borderId="0" xfId="0" applyNumberFormat="1" applyFont="1" applyFill="1" applyProtection="1"/>
    <xf numFmtId="0" fontId="4" fillId="0" borderId="1" xfId="0" applyFont="1" applyFill="1" applyBorder="1" applyAlignment="1" applyProtection="1">
      <alignment horizontal="center"/>
    </xf>
    <xf numFmtId="43" fontId="0" fillId="0" borderId="7" xfId="2" applyFont="1" applyFill="1" applyBorder="1" applyProtection="1"/>
    <xf numFmtId="0" fontId="6" fillId="0" borderId="7" xfId="0" applyFont="1" applyFill="1" applyBorder="1" applyProtection="1"/>
    <xf numFmtId="0" fontId="6" fillId="0" borderId="0" xfId="0" applyFont="1" applyFill="1" applyBorder="1" applyProtection="1"/>
    <xf numFmtId="10" fontId="6" fillId="0" borderId="0" xfId="0" applyNumberFormat="1" applyFont="1" applyFill="1" applyBorder="1" applyProtection="1"/>
    <xf numFmtId="43" fontId="0" fillId="0" borderId="0" xfId="0" applyNumberFormat="1" applyFill="1" applyBorder="1" applyProtection="1"/>
    <xf numFmtId="44" fontId="0" fillId="0" borderId="0" xfId="14" applyFont="1" applyFill="1" applyBorder="1" applyProtection="1"/>
    <xf numFmtId="0" fontId="0" fillId="0" borderId="0" xfId="0" applyFill="1" applyAlignment="1" applyProtection="1">
      <alignment horizontal="center" vertical="center"/>
    </xf>
    <xf numFmtId="0" fontId="17" fillId="0" borderId="0" xfId="0" applyFont="1" applyAlignment="1">
      <alignment horizontal="center"/>
    </xf>
    <xf numFmtId="9" fontId="0" fillId="0" borderId="0" xfId="0" applyNumberFormat="1" applyFill="1" applyAlignment="1" applyProtection="1">
      <alignment horizontal="center"/>
    </xf>
    <xf numFmtId="10" fontId="0" fillId="0" borderId="0" xfId="0" applyNumberFormat="1" applyFill="1" applyProtection="1"/>
    <xf numFmtId="166" fontId="0" fillId="0" borderId="0" xfId="0" applyNumberFormat="1" applyFill="1"/>
    <xf numFmtId="0" fontId="0" fillId="0" borderId="0" xfId="0" applyFill="1"/>
    <xf numFmtId="44" fontId="0" fillId="0" borderId="8" xfId="14" applyFont="1" applyFill="1" applyBorder="1" applyProtection="1"/>
    <xf numFmtId="0" fontId="0" fillId="0" borderId="8" xfId="0" applyFill="1" applyBorder="1" applyProtection="1"/>
    <xf numFmtId="44" fontId="6" fillId="0" borderId="1" xfId="14" applyFont="1" applyFill="1" applyBorder="1" applyProtection="1"/>
    <xf numFmtId="43" fontId="7" fillId="0" borderId="1" xfId="2" applyNumberFormat="1" applyFont="1" applyFill="1" applyBorder="1" applyProtection="1"/>
    <xf numFmtId="0" fontId="4" fillId="0" borderId="1" xfId="8" applyNumberFormat="1" applyFill="1" applyBorder="1" applyAlignment="1" applyProtection="1">
      <alignment horizontal="left" vertical="center" wrapText="1"/>
    </xf>
    <xf numFmtId="0" fontId="4" fillId="0" borderId="1" xfId="8" applyFill="1" applyBorder="1" applyAlignment="1" applyProtection="1">
      <alignment horizontal="left" vertical="center" wrapText="1"/>
    </xf>
    <xf numFmtId="0" fontId="4" fillId="0" borderId="1" xfId="8" applyNumberFormat="1" applyFill="1" applyBorder="1" applyAlignment="1" applyProtection="1">
      <alignment horizontal="center" vertical="center"/>
    </xf>
    <xf numFmtId="4" fontId="4" fillId="0" borderId="1" xfId="8" applyNumberFormat="1" applyFill="1" applyBorder="1" applyAlignment="1" applyProtection="1">
      <alignment vertical="center"/>
    </xf>
    <xf numFmtId="0" fontId="4" fillId="0" borderId="1" xfId="8" applyNumberFormat="1" applyFill="1" applyBorder="1" applyAlignment="1" applyProtection="1">
      <alignment horizontal="center"/>
    </xf>
    <xf numFmtId="0" fontId="4" fillId="0" borderId="1" xfId="8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/>
    </xf>
    <xf numFmtId="164" fontId="10" fillId="0" borderId="1" xfId="3" applyNumberFormat="1" applyFont="1" applyFill="1" applyBorder="1" applyAlignment="1">
      <alignment horizontal="center"/>
    </xf>
    <xf numFmtId="43" fontId="4" fillId="0" borderId="1" xfId="2" applyFont="1" applyFill="1" applyBorder="1" applyAlignment="1" applyProtection="1">
      <alignment horizontal="left" vertical="center"/>
    </xf>
    <xf numFmtId="164" fontId="2" fillId="0" borderId="1" xfId="3" applyNumberFormat="1" applyFont="1" applyFill="1" applyBorder="1" applyAlignment="1">
      <alignment horizontal="center"/>
    </xf>
    <xf numFmtId="164" fontId="1" fillId="0" borderId="1" xfId="3" applyNumberFormat="1" applyFont="1" applyFill="1" applyBorder="1" applyAlignment="1">
      <alignment horizontal="center"/>
    </xf>
    <xf numFmtId="0" fontId="4" fillId="0" borderId="1" xfId="8" applyFill="1" applyBorder="1" applyAlignment="1" applyProtection="1">
      <alignment vertical="center"/>
    </xf>
    <xf numFmtId="0" fontId="4" fillId="0" borderId="1" xfId="8" applyFill="1" applyBorder="1" applyAlignment="1" applyProtection="1">
      <alignment horizontal="center" vertical="center" wrapText="1"/>
    </xf>
    <xf numFmtId="0" fontId="24" fillId="0" borderId="0" xfId="0" applyFont="1" applyFill="1" applyProtection="1"/>
    <xf numFmtId="0" fontId="25" fillId="0" borderId="0" xfId="0" applyFont="1" applyFill="1" applyProtection="1"/>
    <xf numFmtId="0" fontId="26" fillId="3" borderId="1" xfId="0" applyFont="1" applyFill="1" applyBorder="1" applyAlignment="1" applyProtection="1">
      <alignment horizontal="center"/>
    </xf>
    <xf numFmtId="0" fontId="25" fillId="0" borderId="1" xfId="0" applyFont="1" applyFill="1" applyBorder="1" applyProtection="1"/>
    <xf numFmtId="44" fontId="25" fillId="0" borderId="1" xfId="14" applyFont="1" applyFill="1" applyBorder="1" applyProtection="1"/>
    <xf numFmtId="44" fontId="25" fillId="0" borderId="1" xfId="0" applyNumberFormat="1" applyFont="1" applyFill="1" applyBorder="1" applyProtection="1"/>
    <xf numFmtId="10" fontId="25" fillId="0" borderId="1" xfId="4" applyNumberFormat="1" applyFont="1" applyFill="1" applyBorder="1" applyProtection="1"/>
    <xf numFmtId="43" fontId="25" fillId="0" borderId="1" xfId="2" applyNumberFormat="1" applyFont="1" applyFill="1" applyBorder="1" applyProtection="1"/>
    <xf numFmtId="43" fontId="25" fillId="0" borderId="0" xfId="0" applyNumberFormat="1" applyFont="1" applyFill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0" fontId="25" fillId="0" borderId="0" xfId="0" applyNumberFormat="1" applyFont="1" applyFill="1" applyProtection="1"/>
    <xf numFmtId="10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27" fillId="0" borderId="0" xfId="8" applyFont="1" applyFill="1" applyBorder="1" applyProtection="1"/>
    <xf numFmtId="164" fontId="6" fillId="0" borderId="1" xfId="8" applyNumberFormat="1" applyFont="1" applyFill="1" applyBorder="1" applyAlignment="1" applyProtection="1">
      <alignment horizontal="center" vertical="center"/>
    </xf>
    <xf numFmtId="0" fontId="3" fillId="0" borderId="0" xfId="10" applyFont="1" applyBorder="1" applyAlignment="1">
      <alignment vertical="center" wrapText="1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center"/>
    </xf>
    <xf numFmtId="10" fontId="13" fillId="0" borderId="0" xfId="5" applyNumberFormat="1" applyFont="1" applyBorder="1" applyAlignment="1">
      <alignment horizontal="center"/>
    </xf>
    <xf numFmtId="10" fontId="13" fillId="0" borderId="0" xfId="5" applyNumberFormat="1" applyFont="1" applyBorder="1"/>
    <xf numFmtId="0" fontId="28" fillId="0" borderId="0" xfId="10" applyFont="1"/>
    <xf numFmtId="43" fontId="0" fillId="0" borderId="1" xfId="2" applyFont="1" applyFill="1" applyBorder="1" applyAlignment="1" applyProtection="1">
      <alignment horizontal="right"/>
    </xf>
    <xf numFmtId="43" fontId="0" fillId="0" borderId="1" xfId="0" applyNumberFormat="1" applyFill="1" applyBorder="1" applyAlignment="1" applyProtection="1">
      <alignment horizontal="right"/>
    </xf>
    <xf numFmtId="43" fontId="6" fillId="0" borderId="1" xfId="2" applyFont="1" applyFill="1" applyBorder="1" applyAlignment="1" applyProtection="1">
      <alignment horizontal="right"/>
    </xf>
    <xf numFmtId="43" fontId="6" fillId="0" borderId="1" xfId="0" applyNumberFormat="1" applyFont="1" applyFill="1" applyBorder="1" applyAlignment="1" applyProtection="1">
      <alignment horizontal="right"/>
    </xf>
    <xf numFmtId="0" fontId="6" fillId="0" borderId="0" xfId="0" applyFont="1" applyFill="1" applyAlignment="1" applyProtection="1">
      <alignment horizontal="center"/>
    </xf>
    <xf numFmtId="44" fontId="6" fillId="0" borderId="0" xfId="14" applyFont="1" applyFill="1" applyAlignment="1" applyProtection="1">
      <alignment horizontal="left"/>
    </xf>
    <xf numFmtId="0" fontId="6" fillId="0" borderId="0" xfId="0" applyFont="1" applyFill="1" applyAlignment="1" applyProtection="1">
      <alignment horizontal="left" vertical="center"/>
    </xf>
    <xf numFmtId="8" fontId="0" fillId="0" borderId="0" xfId="0" applyNumberFormat="1" applyFill="1" applyAlignment="1" applyProtection="1">
      <alignment horizontal="left"/>
    </xf>
    <xf numFmtId="0" fontId="4" fillId="0" borderId="0" xfId="8" applyFill="1" applyBorder="1" applyAlignment="1" applyProtection="1">
      <alignment horizontal="left"/>
    </xf>
    <xf numFmtId="0" fontId="4" fillId="0" borderId="9" xfId="8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center"/>
    </xf>
    <xf numFmtId="0" fontId="6" fillId="0" borderId="4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</xf>
    <xf numFmtId="0" fontId="13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0" fillId="0" borderId="0" xfId="0" applyFont="1" applyFill="1" applyAlignment="1" applyProtection="1">
      <alignment horizontal="left"/>
    </xf>
    <xf numFmtId="0" fontId="23" fillId="0" borderId="6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</cellXfs>
  <cellStyles count="16">
    <cellStyle name="Dezimal" xfId="2" builtinId="3"/>
    <cellStyle name="Euro" xfId="1"/>
    <cellStyle name="Hyperlink" xfId="15" builtinId="8"/>
    <cellStyle name="Komma 2" xfId="3"/>
    <cellStyle name="Prozent" xfId="4" builtinId="5"/>
    <cellStyle name="Prozent 2" xfId="5"/>
    <cellStyle name="Prozent 3" xfId="6"/>
    <cellStyle name="Prozent 4" xfId="7"/>
    <cellStyle name="Standard" xfId="0" builtinId="0"/>
    <cellStyle name="Standard 2" xfId="8"/>
    <cellStyle name="Standard 2 2" xfId="9"/>
    <cellStyle name="Standard 3" xfId="10"/>
    <cellStyle name="Standard 3 3" xfId="11"/>
    <cellStyle name="Standard 4" xfId="12"/>
    <cellStyle name="Standard 5" xfId="13"/>
    <cellStyle name="Währung" xfId="1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-genesis.destatis.de/genesis/online/data;jsessionid=980D977BE9569CF68E9EF2CDDD8EE75E.tomcat_GO_1_2?operation=abruftabelleAbrufen&amp;selectionname=61111-0005&amp;levelindex=1&amp;levelid=1468949725122&amp;index=5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oeffentlicher-dienst.info/beamte/nw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3"/>
  <dimension ref="A1:E23"/>
  <sheetViews>
    <sheetView zoomScale="160" zoomScaleNormal="160" workbookViewId="0">
      <selection activeCell="D23" sqref="D23"/>
    </sheetView>
  </sheetViews>
  <sheetFormatPr baseColWidth="10" defaultRowHeight="12.75"/>
  <cols>
    <col min="1" max="1" width="28.140625" customWidth="1"/>
    <col min="2" max="2" width="10.5703125" customWidth="1"/>
  </cols>
  <sheetData>
    <row r="1" spans="1:5" s="10" customFormat="1">
      <c r="A1" s="52" t="s">
        <v>34</v>
      </c>
      <c r="B1" s="52" t="s">
        <v>36</v>
      </c>
    </row>
    <row r="2" spans="1:5">
      <c r="A2" s="57" t="s">
        <v>42</v>
      </c>
      <c r="B2" s="57" t="s">
        <v>43</v>
      </c>
    </row>
    <row r="3" spans="1:5">
      <c r="A3" s="57" t="s">
        <v>44</v>
      </c>
      <c r="B3" s="57" t="s">
        <v>45</v>
      </c>
    </row>
    <row r="4" spans="1:5" ht="15">
      <c r="A4" s="57" t="s">
        <v>52</v>
      </c>
      <c r="B4" s="57" t="s">
        <v>53</v>
      </c>
      <c r="E4" s="89"/>
    </row>
    <row r="5" spans="1:5" ht="15">
      <c r="A5" s="57" t="s">
        <v>14</v>
      </c>
      <c r="B5" s="57" t="s">
        <v>37</v>
      </c>
      <c r="E5" s="89"/>
    </row>
    <row r="6" spans="1:5" s="10" customFormat="1" ht="15">
      <c r="A6" s="52" t="s">
        <v>35</v>
      </c>
      <c r="B6" s="52"/>
      <c r="E6" s="164"/>
    </row>
    <row r="7" spans="1:5" ht="15">
      <c r="A7" s="57" t="s">
        <v>132</v>
      </c>
      <c r="B7" s="57" t="s">
        <v>48</v>
      </c>
      <c r="E7" s="89"/>
    </row>
    <row r="8" spans="1:5" ht="15">
      <c r="A8" s="57" t="s">
        <v>135</v>
      </c>
      <c r="B8" s="57" t="s">
        <v>137</v>
      </c>
      <c r="E8" s="89"/>
    </row>
    <row r="9" spans="1:5" ht="15">
      <c r="A9" s="57" t="s">
        <v>136</v>
      </c>
      <c r="B9" s="57" t="s">
        <v>138</v>
      </c>
      <c r="E9" s="89"/>
    </row>
    <row r="10" spans="1:5" ht="15">
      <c r="A10" s="57" t="s">
        <v>134</v>
      </c>
      <c r="B10" s="57" t="s">
        <v>128</v>
      </c>
      <c r="E10" s="89"/>
    </row>
    <row r="11" spans="1:5" ht="15">
      <c r="A11" s="57" t="s">
        <v>142</v>
      </c>
      <c r="B11" s="57" t="s">
        <v>130</v>
      </c>
      <c r="E11" s="89"/>
    </row>
    <row r="12" spans="1:5" ht="15">
      <c r="A12" s="57" t="s">
        <v>46</v>
      </c>
      <c r="B12" s="57" t="s">
        <v>47</v>
      </c>
      <c r="E12" s="89"/>
    </row>
    <row r="13" spans="1:5" ht="15">
      <c r="A13" s="57" t="s">
        <v>492</v>
      </c>
      <c r="B13" s="57" t="s">
        <v>493</v>
      </c>
      <c r="E13" s="89"/>
    </row>
    <row r="14" spans="1:5" ht="15">
      <c r="A14" s="57" t="s">
        <v>490</v>
      </c>
      <c r="B14" s="57" t="s">
        <v>491</v>
      </c>
      <c r="E14" s="89"/>
    </row>
    <row r="15" spans="1:5" ht="15">
      <c r="A15" s="57" t="s">
        <v>503</v>
      </c>
      <c r="B15" s="57" t="s">
        <v>131</v>
      </c>
      <c r="E15" s="89"/>
    </row>
    <row r="16" spans="1:5" ht="15">
      <c r="A16" s="57" t="s">
        <v>504</v>
      </c>
      <c r="B16" s="57" t="s">
        <v>133</v>
      </c>
      <c r="E16" s="89"/>
    </row>
    <row r="17" spans="1:5" ht="15">
      <c r="A17" s="57" t="s">
        <v>49</v>
      </c>
      <c r="B17" s="57" t="s">
        <v>50</v>
      </c>
      <c r="E17" s="89"/>
    </row>
    <row r="18" spans="1:5" ht="15">
      <c r="A18" s="57" t="s">
        <v>51</v>
      </c>
      <c r="B18" s="57" t="s">
        <v>41</v>
      </c>
      <c r="E18" s="89"/>
    </row>
    <row r="19" spans="1:5" ht="15">
      <c r="A19" s="57" t="s">
        <v>139</v>
      </c>
      <c r="B19" s="57" t="s">
        <v>129</v>
      </c>
      <c r="E19" s="89"/>
    </row>
    <row r="20" spans="1:5">
      <c r="A20" s="57" t="s">
        <v>140</v>
      </c>
      <c r="B20" s="57" t="s">
        <v>141</v>
      </c>
    </row>
    <row r="21" spans="1:5">
      <c r="B21" s="9"/>
    </row>
    <row r="22" spans="1:5">
      <c r="A22" s="7"/>
      <c r="B22" s="135"/>
    </row>
    <row r="23" spans="1:5">
      <c r="B23" s="9"/>
    </row>
  </sheetData>
  <sortState ref="A7:B19">
    <sortCondition ref="A7"/>
  </sortState>
  <printOptions headings="1" gridLines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&amp;L&amp;A&amp;R&amp;P/&amp;N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>
    <pageSetUpPr fitToPage="1"/>
  </sheetPr>
  <dimension ref="A1:Z131"/>
  <sheetViews>
    <sheetView topLeftCell="A93" zoomScaleNormal="100" workbookViewId="0">
      <selection activeCell="C67" sqref="C67"/>
    </sheetView>
  </sheetViews>
  <sheetFormatPr baseColWidth="10" defaultColWidth="9.28515625" defaultRowHeight="12.75"/>
  <cols>
    <col min="1" max="1" width="4.28515625" style="1" bestFit="1" customWidth="1"/>
    <col min="2" max="2" width="11.85546875" style="98" bestFit="1" customWidth="1"/>
    <col min="3" max="3" width="33.7109375" style="101" bestFit="1" customWidth="1"/>
    <col min="4" max="4" width="7.140625" style="1" bestFit="1" customWidth="1"/>
    <col min="5" max="5" width="5.28515625" style="1" bestFit="1" customWidth="1"/>
    <col min="6" max="6" width="3.5703125" style="1" bestFit="1" customWidth="1"/>
    <col min="7" max="7" width="5.28515625" style="1" bestFit="1" customWidth="1"/>
    <col min="8" max="8" width="8.5703125" style="1" bestFit="1" customWidth="1"/>
    <col min="9" max="9" width="15.28515625" style="106" bestFit="1" customWidth="1"/>
    <col min="10" max="10" width="21.85546875" style="1" bestFit="1" customWidth="1"/>
    <col min="11" max="11" width="10.85546875" style="1" bestFit="1" customWidth="1"/>
    <col min="12" max="12" width="13.7109375" style="29" bestFit="1" customWidth="1"/>
    <col min="13" max="14" width="13.7109375" style="30" bestFit="1" customWidth="1"/>
    <col min="15" max="15" width="15.7109375" style="1" bestFit="1" customWidth="1"/>
    <col min="16" max="18" width="13.7109375" style="1" bestFit="1" customWidth="1"/>
    <col min="19" max="19" width="16.140625" style="1" bestFit="1" customWidth="1"/>
    <col min="20" max="20" width="12.140625" style="1" bestFit="1" customWidth="1"/>
    <col min="21" max="21" width="28.28515625" style="1" customWidth="1"/>
    <col min="22" max="22" width="12.7109375" style="1" bestFit="1" customWidth="1"/>
    <col min="23" max="23" width="31.7109375" style="72" bestFit="1" customWidth="1"/>
    <col min="24" max="16384" width="9.28515625" style="1"/>
  </cols>
  <sheetData>
    <row r="1" spans="1:26" ht="25.5">
      <c r="A1" s="42" t="s">
        <v>0</v>
      </c>
      <c r="B1" s="95" t="s">
        <v>143</v>
      </c>
      <c r="C1" s="43" t="s">
        <v>1</v>
      </c>
      <c r="D1" s="44" t="s">
        <v>33</v>
      </c>
      <c r="E1" s="44" t="s">
        <v>3</v>
      </c>
      <c r="F1" s="44" t="s">
        <v>4</v>
      </c>
      <c r="G1" s="44" t="s">
        <v>5</v>
      </c>
      <c r="H1" s="44" t="s">
        <v>395</v>
      </c>
      <c r="I1" s="103" t="s">
        <v>396</v>
      </c>
      <c r="J1" s="44" t="s">
        <v>397</v>
      </c>
      <c r="K1" s="44" t="s">
        <v>32</v>
      </c>
      <c r="L1" s="44">
        <v>2016</v>
      </c>
      <c r="M1" s="44">
        <f>+L1+1</f>
        <v>2017</v>
      </c>
      <c r="N1" s="44">
        <f>+M1+1</f>
        <v>2018</v>
      </c>
      <c r="O1" s="44" t="s">
        <v>31</v>
      </c>
      <c r="P1" s="44">
        <f>+L1</f>
        <v>2016</v>
      </c>
      <c r="Q1" s="44">
        <f>+M1</f>
        <v>2017</v>
      </c>
      <c r="R1" s="44">
        <f>+N1</f>
        <v>2018</v>
      </c>
      <c r="S1" s="44" t="s">
        <v>30</v>
      </c>
      <c r="T1" s="199">
        <v>6.5000000000000002E-2</v>
      </c>
      <c r="U1" s="70"/>
      <c r="W1" s="1"/>
    </row>
    <row r="2" spans="1:26" ht="15" customHeight="1">
      <c r="A2" s="195">
        <v>1</v>
      </c>
      <c r="B2" s="96" t="s">
        <v>241</v>
      </c>
      <c r="C2" s="196" t="s">
        <v>239</v>
      </c>
      <c r="D2" s="197">
        <v>0</v>
      </c>
      <c r="E2" s="32">
        <v>2009</v>
      </c>
      <c r="F2" s="32">
        <v>10</v>
      </c>
      <c r="G2" s="32">
        <f>IF(ISBLANK(F2),"",+E2+F2-1)</f>
        <v>2018</v>
      </c>
      <c r="H2" s="179">
        <v>1</v>
      </c>
      <c r="I2" s="104">
        <v>2184.0500000000002</v>
      </c>
      <c r="J2" s="108">
        <f>+I2*H2</f>
        <v>2184.0500000000002</v>
      </c>
      <c r="K2" s="180" t="s">
        <v>45</v>
      </c>
      <c r="L2" s="48">
        <f>+IF(L$1&lt;$E2,0,IF(L$1&gt;$G2,0,IF($F2="",0,IF(AND($J2&lt;0,$T$3=1),0,$J2/$F2))))*(1-$D2)</f>
        <v>218.40500000000003</v>
      </c>
      <c r="M2" s="48">
        <f t="shared" ref="M2:N17" si="0">+IF(M$1&lt;$E2,0,IF(M$1&gt;$G2,0,IF($F2="",0,IF(AND($J2&lt;0,$T$3=1),0,$J2/$F2))))*(1-$D2)</f>
        <v>218.40500000000003</v>
      </c>
      <c r="N2" s="48">
        <f t="shared" si="0"/>
        <v>218.40500000000003</v>
      </c>
      <c r="O2" s="38"/>
      <c r="P2" s="181">
        <f>+IF(P$1&lt;$E2,0,IF(P$1&gt;$G2,0,$J2*IF($F2="",1,CHOOSE($T$2,1-((P$1-$E2)/$F2),0.5))))*$T$1*(1-$D2)</f>
        <v>42.588975000000012</v>
      </c>
      <c r="Q2" s="37">
        <f>+IF(Q$1&lt;$E2,0,IF(Q$1&gt;$G2,0,$J2*IF($F2="",1,CHOOSE($T$2,1-((Q$1-$E2)/$F2),0.5))))*$T$1*(1-$D2)</f>
        <v>28.392649999999996</v>
      </c>
      <c r="R2" s="37">
        <f>+IF(R$1&lt;$E2,0,IF(R$1&gt;$G2,0,$J2*IF($F2="",1,CHOOSE($T$2,1-((R$1-$E2)/$F2),0.5))))*$T$1*(1-$D2)</f>
        <v>14.196324999999998</v>
      </c>
      <c r="S2" s="41" t="s">
        <v>112</v>
      </c>
      <c r="T2" s="200">
        <v>1</v>
      </c>
      <c r="U2" s="70" t="s">
        <v>84</v>
      </c>
      <c r="W2" s="1"/>
      <c r="Z2" s="82"/>
    </row>
    <row r="3" spans="1:26" ht="15" customHeight="1">
      <c r="A3" s="195">
        <v>2</v>
      </c>
      <c r="B3" s="96" t="s">
        <v>242</v>
      </c>
      <c r="C3" s="196" t="s">
        <v>240</v>
      </c>
      <c r="D3" s="197">
        <v>0</v>
      </c>
      <c r="E3" s="32">
        <v>2011</v>
      </c>
      <c r="F3" s="32">
        <v>10</v>
      </c>
      <c r="G3" s="32">
        <f t="shared" ref="G3:G68" si="1">IF(ISBLANK(F3),"",+E3+F3-1)</f>
        <v>2020</v>
      </c>
      <c r="H3" s="179">
        <v>1</v>
      </c>
      <c r="I3" s="104">
        <v>2275</v>
      </c>
      <c r="J3" s="108">
        <f t="shared" ref="J3:J68" si="2">+I3*H3</f>
        <v>2275</v>
      </c>
      <c r="K3" s="180" t="s">
        <v>45</v>
      </c>
      <c r="L3" s="48">
        <f t="shared" ref="L3:N36" si="3">+IF(L$1&lt;$E3,0,IF(L$1&gt;$G3,0,IF($F3="",0,IF(AND($J3&lt;0,$T$3=1),0,$J3/$F3))))*(1-$D3)</f>
        <v>227.5</v>
      </c>
      <c r="M3" s="48">
        <f t="shared" si="0"/>
        <v>227.5</v>
      </c>
      <c r="N3" s="48">
        <f t="shared" si="0"/>
        <v>227.5</v>
      </c>
      <c r="O3" s="38"/>
      <c r="P3" s="181">
        <f t="shared" ref="P3:R36" si="4">+IF(P$1&lt;$E3,0,IF(P$1&gt;$G3,0,$J3*IF($F3="",1,CHOOSE($T$2,1-((P$1-$E3)/$F3),0.5))))*$T$1*(1-$D3)</f>
        <v>73.9375</v>
      </c>
      <c r="Q3" s="37">
        <f t="shared" si="4"/>
        <v>59.15</v>
      </c>
      <c r="R3" s="37">
        <f t="shared" si="4"/>
        <v>44.362500000000011</v>
      </c>
      <c r="S3" s="88" t="s">
        <v>462</v>
      </c>
      <c r="T3" s="200">
        <v>1</v>
      </c>
      <c r="U3" s="71" t="s">
        <v>113</v>
      </c>
      <c r="W3" s="1"/>
      <c r="Z3" s="82"/>
    </row>
    <row r="4" spans="1:26" ht="15" customHeight="1">
      <c r="A4" s="195">
        <v>3</v>
      </c>
      <c r="B4" s="96" t="s">
        <v>243</v>
      </c>
      <c r="C4" s="196" t="s">
        <v>244</v>
      </c>
      <c r="D4" s="197">
        <v>0</v>
      </c>
      <c r="E4" s="32">
        <v>2012</v>
      </c>
      <c r="F4" s="32">
        <v>10</v>
      </c>
      <c r="G4" s="32">
        <f t="shared" si="1"/>
        <v>2021</v>
      </c>
      <c r="H4" s="179">
        <v>1</v>
      </c>
      <c r="I4" s="104">
        <v>3497.05</v>
      </c>
      <c r="J4" s="108">
        <f t="shared" si="2"/>
        <v>3497.05</v>
      </c>
      <c r="K4" s="180" t="s">
        <v>45</v>
      </c>
      <c r="L4" s="48">
        <f t="shared" si="3"/>
        <v>349.70500000000004</v>
      </c>
      <c r="M4" s="48">
        <f t="shared" si="0"/>
        <v>349.70500000000004</v>
      </c>
      <c r="N4" s="48">
        <f t="shared" si="0"/>
        <v>349.70500000000004</v>
      </c>
      <c r="O4" s="38"/>
      <c r="P4" s="181">
        <f t="shared" si="4"/>
        <v>136.38495</v>
      </c>
      <c r="Q4" s="37">
        <f t="shared" si="4"/>
        <v>113.65412500000001</v>
      </c>
      <c r="R4" s="37">
        <f t="shared" si="4"/>
        <v>90.923300000000012</v>
      </c>
      <c r="U4" s="72"/>
      <c r="W4" s="1"/>
      <c r="Z4" s="82"/>
    </row>
    <row r="5" spans="1:26" ht="15" customHeight="1">
      <c r="A5" s="195">
        <v>4</v>
      </c>
      <c r="B5" s="96" t="s">
        <v>245</v>
      </c>
      <c r="C5" s="196" t="s">
        <v>246</v>
      </c>
      <c r="D5" s="197">
        <v>0</v>
      </c>
      <c r="E5" s="32">
        <v>2012</v>
      </c>
      <c r="F5" s="32">
        <v>10</v>
      </c>
      <c r="G5" s="32">
        <f t="shared" si="1"/>
        <v>2021</v>
      </c>
      <c r="H5" s="179">
        <v>1</v>
      </c>
      <c r="I5" s="104">
        <v>1397.92</v>
      </c>
      <c r="J5" s="108">
        <f t="shared" si="2"/>
        <v>1397.92</v>
      </c>
      <c r="K5" s="180" t="s">
        <v>45</v>
      </c>
      <c r="L5" s="48">
        <f t="shared" si="3"/>
        <v>139.792</v>
      </c>
      <c r="M5" s="48">
        <f t="shared" si="0"/>
        <v>139.792</v>
      </c>
      <c r="N5" s="48">
        <f t="shared" si="0"/>
        <v>139.792</v>
      </c>
      <c r="O5" s="38"/>
      <c r="P5" s="181">
        <f t="shared" si="4"/>
        <v>54.518880000000003</v>
      </c>
      <c r="Q5" s="37">
        <f t="shared" si="4"/>
        <v>45.432400000000001</v>
      </c>
      <c r="R5" s="37">
        <f t="shared" si="4"/>
        <v>36.34592</v>
      </c>
      <c r="W5" s="82"/>
    </row>
    <row r="6" spans="1:26" ht="15" customHeight="1">
      <c r="A6" s="195">
        <v>5</v>
      </c>
      <c r="B6" s="96" t="s">
        <v>247</v>
      </c>
      <c r="C6" s="196" t="s">
        <v>248</v>
      </c>
      <c r="D6" s="197">
        <v>0</v>
      </c>
      <c r="E6" s="32">
        <v>2009</v>
      </c>
      <c r="F6" s="32">
        <v>10</v>
      </c>
      <c r="G6" s="32">
        <f t="shared" si="1"/>
        <v>2018</v>
      </c>
      <c r="H6" s="179">
        <v>1</v>
      </c>
      <c r="I6" s="104">
        <v>995</v>
      </c>
      <c r="J6" s="108">
        <f t="shared" si="2"/>
        <v>995</v>
      </c>
      <c r="K6" s="180" t="s">
        <v>45</v>
      </c>
      <c r="L6" s="48">
        <f t="shared" si="3"/>
        <v>99.5</v>
      </c>
      <c r="M6" s="48">
        <f t="shared" si="0"/>
        <v>99.5</v>
      </c>
      <c r="N6" s="48">
        <f t="shared" si="0"/>
        <v>99.5</v>
      </c>
      <c r="O6" s="38"/>
      <c r="P6" s="181">
        <f t="shared" si="4"/>
        <v>19.402500000000003</v>
      </c>
      <c r="Q6" s="37">
        <f t="shared" si="4"/>
        <v>12.934999999999997</v>
      </c>
      <c r="R6" s="37">
        <f t="shared" si="4"/>
        <v>6.4674999999999985</v>
      </c>
      <c r="W6" s="82"/>
    </row>
    <row r="7" spans="1:26" ht="15" customHeight="1">
      <c r="A7" s="195">
        <v>6</v>
      </c>
      <c r="B7" s="96" t="s">
        <v>249</v>
      </c>
      <c r="C7" s="196" t="s">
        <v>250</v>
      </c>
      <c r="D7" s="197">
        <v>0</v>
      </c>
      <c r="E7" s="32">
        <v>2009</v>
      </c>
      <c r="F7" s="32">
        <v>10</v>
      </c>
      <c r="G7" s="32">
        <f t="shared" si="1"/>
        <v>2018</v>
      </c>
      <c r="H7" s="179">
        <v>1</v>
      </c>
      <c r="I7" s="104">
        <v>730.3</v>
      </c>
      <c r="J7" s="108">
        <f t="shared" si="2"/>
        <v>730.3</v>
      </c>
      <c r="K7" s="180" t="s">
        <v>43</v>
      </c>
      <c r="L7" s="48">
        <f t="shared" si="3"/>
        <v>73.03</v>
      </c>
      <c r="M7" s="48">
        <f t="shared" si="0"/>
        <v>73.03</v>
      </c>
      <c r="N7" s="48">
        <f t="shared" si="0"/>
        <v>73.03</v>
      </c>
      <c r="O7" s="38"/>
      <c r="P7" s="181">
        <f t="shared" si="4"/>
        <v>14.240850000000002</v>
      </c>
      <c r="Q7" s="37">
        <f t="shared" si="4"/>
        <v>9.4938999999999965</v>
      </c>
      <c r="R7" s="37">
        <f t="shared" si="4"/>
        <v>4.7469499999999982</v>
      </c>
      <c r="W7" s="82"/>
    </row>
    <row r="8" spans="1:26" ht="15" customHeight="1">
      <c r="A8" s="195">
        <v>7</v>
      </c>
      <c r="B8" s="96" t="s">
        <v>251</v>
      </c>
      <c r="C8" s="196" t="s">
        <v>252</v>
      </c>
      <c r="D8" s="197">
        <v>0</v>
      </c>
      <c r="E8" s="32">
        <v>2009</v>
      </c>
      <c r="F8" s="32">
        <v>10</v>
      </c>
      <c r="G8" s="32">
        <f t="shared" si="1"/>
        <v>2018</v>
      </c>
      <c r="H8" s="179">
        <v>1</v>
      </c>
      <c r="I8" s="104">
        <v>3247.63</v>
      </c>
      <c r="J8" s="108">
        <f t="shared" si="2"/>
        <v>3247.63</v>
      </c>
      <c r="K8" s="180" t="s">
        <v>43</v>
      </c>
      <c r="L8" s="48">
        <f t="shared" si="3"/>
        <v>324.76300000000003</v>
      </c>
      <c r="M8" s="48">
        <f t="shared" si="0"/>
        <v>324.76300000000003</v>
      </c>
      <c r="N8" s="48">
        <f t="shared" si="0"/>
        <v>324.76300000000003</v>
      </c>
      <c r="O8" s="38"/>
      <c r="P8" s="181">
        <f t="shared" si="4"/>
        <v>63.328785000000018</v>
      </c>
      <c r="Q8" s="37">
        <f t="shared" si="4"/>
        <v>42.21918999999999</v>
      </c>
      <c r="R8" s="37">
        <f t="shared" si="4"/>
        <v>21.109594999999995</v>
      </c>
      <c r="W8" s="82"/>
    </row>
    <row r="9" spans="1:26" ht="15" customHeight="1">
      <c r="A9" s="195">
        <v>8</v>
      </c>
      <c r="B9" s="96" t="s">
        <v>253</v>
      </c>
      <c r="C9" s="196" t="s">
        <v>254</v>
      </c>
      <c r="D9" s="197">
        <v>0</v>
      </c>
      <c r="E9" s="32">
        <v>2010</v>
      </c>
      <c r="F9" s="32">
        <v>10</v>
      </c>
      <c r="G9" s="32">
        <f t="shared" si="1"/>
        <v>2019</v>
      </c>
      <c r="H9" s="179">
        <v>1</v>
      </c>
      <c r="I9" s="104">
        <v>506.6</v>
      </c>
      <c r="J9" s="108">
        <f t="shared" si="2"/>
        <v>506.6</v>
      </c>
      <c r="K9" s="180" t="s">
        <v>43</v>
      </c>
      <c r="L9" s="48">
        <f t="shared" si="3"/>
        <v>50.660000000000004</v>
      </c>
      <c r="M9" s="48">
        <f t="shared" si="0"/>
        <v>50.660000000000004</v>
      </c>
      <c r="N9" s="48">
        <f t="shared" si="0"/>
        <v>50.660000000000004</v>
      </c>
      <c r="O9" s="38"/>
      <c r="P9" s="181">
        <f t="shared" si="4"/>
        <v>13.171600000000002</v>
      </c>
      <c r="Q9" s="37">
        <f t="shared" si="4"/>
        <v>9.878700000000002</v>
      </c>
      <c r="R9" s="37">
        <f t="shared" si="4"/>
        <v>6.585799999999999</v>
      </c>
      <c r="W9" s="82"/>
    </row>
    <row r="10" spans="1:26" ht="15" customHeight="1">
      <c r="A10" s="195">
        <v>9</v>
      </c>
      <c r="B10" s="96" t="s">
        <v>255</v>
      </c>
      <c r="C10" s="196" t="s">
        <v>256</v>
      </c>
      <c r="D10" s="197">
        <v>0</v>
      </c>
      <c r="E10" s="32">
        <v>2010</v>
      </c>
      <c r="F10" s="32">
        <v>10</v>
      </c>
      <c r="G10" s="32">
        <f t="shared" si="1"/>
        <v>2019</v>
      </c>
      <c r="H10" s="179">
        <v>1</v>
      </c>
      <c r="I10" s="104">
        <v>689.72</v>
      </c>
      <c r="J10" s="108">
        <f t="shared" si="2"/>
        <v>689.72</v>
      </c>
      <c r="K10" s="180" t="s">
        <v>43</v>
      </c>
      <c r="L10" s="48">
        <f t="shared" si="3"/>
        <v>68.972000000000008</v>
      </c>
      <c r="M10" s="48">
        <f t="shared" si="0"/>
        <v>68.972000000000008</v>
      </c>
      <c r="N10" s="48">
        <f t="shared" si="0"/>
        <v>68.972000000000008</v>
      </c>
      <c r="O10" s="38"/>
      <c r="P10" s="181">
        <f t="shared" si="4"/>
        <v>17.932720000000003</v>
      </c>
      <c r="Q10" s="37">
        <f t="shared" si="4"/>
        <v>13.449540000000002</v>
      </c>
      <c r="R10" s="37">
        <f t="shared" si="4"/>
        <v>8.9663599999999999</v>
      </c>
      <c r="W10" s="82"/>
    </row>
    <row r="11" spans="1:26" ht="15" customHeight="1">
      <c r="A11" s="195">
        <v>10</v>
      </c>
      <c r="B11" s="96" t="s">
        <v>257</v>
      </c>
      <c r="C11" s="196" t="s">
        <v>258</v>
      </c>
      <c r="D11" s="197">
        <v>0</v>
      </c>
      <c r="E11" s="32">
        <v>2013</v>
      </c>
      <c r="F11" s="32">
        <v>10</v>
      </c>
      <c r="G11" s="32">
        <f t="shared" si="1"/>
        <v>2022</v>
      </c>
      <c r="H11" s="179">
        <v>1</v>
      </c>
      <c r="I11" s="104">
        <v>2260.1</v>
      </c>
      <c r="J11" s="108">
        <f t="shared" si="2"/>
        <v>2260.1</v>
      </c>
      <c r="K11" s="180" t="s">
        <v>43</v>
      </c>
      <c r="L11" s="48">
        <f t="shared" si="3"/>
        <v>226.01</v>
      </c>
      <c r="M11" s="48">
        <f t="shared" si="0"/>
        <v>226.01</v>
      </c>
      <c r="N11" s="48">
        <f t="shared" si="0"/>
        <v>226.01</v>
      </c>
      <c r="O11" s="38"/>
      <c r="P11" s="181">
        <f t="shared" si="4"/>
        <v>102.83454999999999</v>
      </c>
      <c r="Q11" s="37">
        <f t="shared" si="4"/>
        <v>88.143900000000002</v>
      </c>
      <c r="R11" s="37">
        <f t="shared" si="4"/>
        <v>73.453249999999997</v>
      </c>
      <c r="W11" s="82"/>
    </row>
    <row r="12" spans="1:26" ht="15" customHeight="1">
      <c r="A12" s="195">
        <v>11</v>
      </c>
      <c r="B12" s="96" t="s">
        <v>259</v>
      </c>
      <c r="C12" s="196" t="s">
        <v>463</v>
      </c>
      <c r="D12" s="197">
        <v>0</v>
      </c>
      <c r="E12" s="32">
        <v>2015</v>
      </c>
      <c r="F12" s="32">
        <v>10</v>
      </c>
      <c r="G12" s="32">
        <f t="shared" si="1"/>
        <v>2024</v>
      </c>
      <c r="H12" s="179">
        <v>1</v>
      </c>
      <c r="I12" s="104">
        <v>9383.26</v>
      </c>
      <c r="J12" s="108">
        <f t="shared" si="2"/>
        <v>9383.26</v>
      </c>
      <c r="K12" s="180" t="s">
        <v>43</v>
      </c>
      <c r="L12" s="48">
        <f t="shared" si="3"/>
        <v>938.32600000000002</v>
      </c>
      <c r="M12" s="48">
        <f t="shared" si="0"/>
        <v>938.32600000000002</v>
      </c>
      <c r="N12" s="48">
        <f t="shared" si="0"/>
        <v>938.32600000000002</v>
      </c>
      <c r="O12" s="38"/>
      <c r="P12" s="181">
        <f t="shared" si="4"/>
        <v>548.9207100000001</v>
      </c>
      <c r="Q12" s="37">
        <f t="shared" si="4"/>
        <v>487.92952000000002</v>
      </c>
      <c r="R12" s="37">
        <f t="shared" si="4"/>
        <v>426.93833000000001</v>
      </c>
      <c r="W12" s="82"/>
    </row>
    <row r="13" spans="1:26" ht="15" customHeight="1">
      <c r="A13" s="195">
        <v>12</v>
      </c>
      <c r="B13" s="96" t="s">
        <v>260</v>
      </c>
      <c r="C13" s="196" t="s">
        <v>261</v>
      </c>
      <c r="D13" s="197">
        <v>0</v>
      </c>
      <c r="E13" s="32">
        <v>2010</v>
      </c>
      <c r="F13" s="32">
        <v>10</v>
      </c>
      <c r="G13" s="32">
        <f t="shared" si="1"/>
        <v>2019</v>
      </c>
      <c r="H13" s="179">
        <v>1</v>
      </c>
      <c r="I13" s="104">
        <v>1235.93</v>
      </c>
      <c r="J13" s="108">
        <f t="shared" si="2"/>
        <v>1235.93</v>
      </c>
      <c r="K13" s="180" t="s">
        <v>43</v>
      </c>
      <c r="L13" s="48">
        <f t="shared" si="3"/>
        <v>123.593</v>
      </c>
      <c r="M13" s="48">
        <f t="shared" si="0"/>
        <v>123.593</v>
      </c>
      <c r="N13" s="48">
        <f t="shared" si="0"/>
        <v>123.593</v>
      </c>
      <c r="O13" s="38"/>
      <c r="P13" s="181">
        <f t="shared" si="4"/>
        <v>32.134180000000008</v>
      </c>
      <c r="Q13" s="37">
        <f t="shared" si="4"/>
        <v>24.100635000000004</v>
      </c>
      <c r="R13" s="37">
        <f t="shared" si="4"/>
        <v>16.067089999999997</v>
      </c>
      <c r="W13" s="82"/>
    </row>
    <row r="14" spans="1:26" ht="15" customHeight="1">
      <c r="A14" s="195">
        <v>13</v>
      </c>
      <c r="B14" s="96" t="s">
        <v>262</v>
      </c>
      <c r="C14" s="196" t="s">
        <v>263</v>
      </c>
      <c r="D14" s="197">
        <v>0</v>
      </c>
      <c r="E14" s="32">
        <v>2010</v>
      </c>
      <c r="F14" s="32">
        <v>10</v>
      </c>
      <c r="G14" s="32">
        <f t="shared" si="1"/>
        <v>2019</v>
      </c>
      <c r="H14" s="179">
        <v>1</v>
      </c>
      <c r="I14" s="104">
        <v>1457.29</v>
      </c>
      <c r="J14" s="108">
        <f t="shared" si="2"/>
        <v>1457.29</v>
      </c>
      <c r="K14" s="180" t="s">
        <v>43</v>
      </c>
      <c r="L14" s="48">
        <f t="shared" si="3"/>
        <v>145.72899999999998</v>
      </c>
      <c r="M14" s="48">
        <f t="shared" si="0"/>
        <v>145.72899999999998</v>
      </c>
      <c r="N14" s="48">
        <f t="shared" si="0"/>
        <v>145.72899999999998</v>
      </c>
      <c r="O14" s="38"/>
      <c r="P14" s="181">
        <f t="shared" si="4"/>
        <v>37.889540000000004</v>
      </c>
      <c r="Q14" s="37">
        <f t="shared" si="4"/>
        <v>28.417155000000005</v>
      </c>
      <c r="R14" s="37">
        <f t="shared" si="4"/>
        <v>18.944769999999995</v>
      </c>
      <c r="W14" s="82"/>
    </row>
    <row r="15" spans="1:26" ht="15" customHeight="1">
      <c r="A15" s="195">
        <v>14</v>
      </c>
      <c r="B15" s="96" t="s">
        <v>264</v>
      </c>
      <c r="C15" s="196" t="s">
        <v>265</v>
      </c>
      <c r="D15" s="197">
        <v>0</v>
      </c>
      <c r="E15" s="32">
        <v>2012</v>
      </c>
      <c r="F15" s="32">
        <v>10</v>
      </c>
      <c r="G15" s="32">
        <f t="shared" si="1"/>
        <v>2021</v>
      </c>
      <c r="H15" s="179">
        <v>1</v>
      </c>
      <c r="I15" s="104">
        <v>6881.05</v>
      </c>
      <c r="J15" s="108">
        <f t="shared" si="2"/>
        <v>6881.05</v>
      </c>
      <c r="K15" s="180" t="s">
        <v>43</v>
      </c>
      <c r="L15" s="48">
        <f t="shared" si="3"/>
        <v>688.10500000000002</v>
      </c>
      <c r="M15" s="48">
        <f t="shared" si="0"/>
        <v>688.10500000000002</v>
      </c>
      <c r="N15" s="48">
        <f t="shared" si="0"/>
        <v>688.10500000000002</v>
      </c>
      <c r="O15" s="38"/>
      <c r="P15" s="181">
        <f t="shared" si="4"/>
        <v>268.36095</v>
      </c>
      <c r="Q15" s="37">
        <f t="shared" si="4"/>
        <v>223.63412500000001</v>
      </c>
      <c r="R15" s="37">
        <f t="shared" si="4"/>
        <v>178.90730000000002</v>
      </c>
      <c r="W15" s="82"/>
    </row>
    <row r="16" spans="1:26" ht="15" customHeight="1">
      <c r="A16" s="195">
        <v>15</v>
      </c>
      <c r="B16" s="96" t="s">
        <v>266</v>
      </c>
      <c r="C16" s="196" t="s">
        <v>267</v>
      </c>
      <c r="D16" s="197">
        <v>0</v>
      </c>
      <c r="E16" s="32">
        <v>2012</v>
      </c>
      <c r="F16" s="32">
        <v>10</v>
      </c>
      <c r="G16" s="32">
        <f t="shared" si="1"/>
        <v>2021</v>
      </c>
      <c r="H16" s="179">
        <v>1</v>
      </c>
      <c r="I16" s="104">
        <v>2641.44</v>
      </c>
      <c r="J16" s="108">
        <f t="shared" si="2"/>
        <v>2641.44</v>
      </c>
      <c r="K16" s="180" t="s">
        <v>43</v>
      </c>
      <c r="L16" s="48">
        <f t="shared" si="3"/>
        <v>264.14400000000001</v>
      </c>
      <c r="M16" s="48">
        <f t="shared" si="0"/>
        <v>264.14400000000001</v>
      </c>
      <c r="N16" s="48">
        <f t="shared" si="0"/>
        <v>264.14400000000001</v>
      </c>
      <c r="O16" s="38"/>
      <c r="P16" s="181">
        <f t="shared" si="4"/>
        <v>103.01616</v>
      </c>
      <c r="Q16" s="37">
        <f t="shared" si="4"/>
        <v>85.846800000000002</v>
      </c>
      <c r="R16" s="37">
        <f t="shared" si="4"/>
        <v>68.677440000000004</v>
      </c>
      <c r="W16" s="82"/>
    </row>
    <row r="17" spans="1:23" ht="15" customHeight="1">
      <c r="A17" s="195">
        <v>16</v>
      </c>
      <c r="B17" s="96" t="s">
        <v>268</v>
      </c>
      <c r="C17" s="196" t="s">
        <v>269</v>
      </c>
      <c r="D17" s="197">
        <v>0</v>
      </c>
      <c r="E17" s="32">
        <v>2013</v>
      </c>
      <c r="F17" s="32">
        <v>10</v>
      </c>
      <c r="G17" s="32">
        <f t="shared" si="1"/>
        <v>2022</v>
      </c>
      <c r="H17" s="179">
        <v>1</v>
      </c>
      <c r="I17" s="104">
        <v>921.3</v>
      </c>
      <c r="J17" s="108">
        <f t="shared" si="2"/>
        <v>921.3</v>
      </c>
      <c r="K17" s="180" t="s">
        <v>43</v>
      </c>
      <c r="L17" s="48">
        <f t="shared" si="3"/>
        <v>92.13</v>
      </c>
      <c r="M17" s="48">
        <f t="shared" si="0"/>
        <v>92.13</v>
      </c>
      <c r="N17" s="48">
        <f t="shared" si="0"/>
        <v>92.13</v>
      </c>
      <c r="O17" s="38"/>
      <c r="P17" s="181">
        <f t="shared" si="4"/>
        <v>41.919150000000002</v>
      </c>
      <c r="Q17" s="37">
        <f t="shared" si="4"/>
        <v>35.930700000000002</v>
      </c>
      <c r="R17" s="37">
        <f t="shared" si="4"/>
        <v>29.942249999999998</v>
      </c>
      <c r="W17" s="82"/>
    </row>
    <row r="18" spans="1:23" ht="15" customHeight="1">
      <c r="A18" s="195">
        <v>17</v>
      </c>
      <c r="B18" s="96" t="s">
        <v>270</v>
      </c>
      <c r="C18" s="196" t="s">
        <v>271</v>
      </c>
      <c r="D18" s="197">
        <v>0</v>
      </c>
      <c r="E18" s="32">
        <v>2014</v>
      </c>
      <c r="F18" s="32">
        <v>10</v>
      </c>
      <c r="G18" s="32">
        <f t="shared" si="1"/>
        <v>2023</v>
      </c>
      <c r="H18" s="179">
        <v>1</v>
      </c>
      <c r="I18" s="104">
        <v>11598.04</v>
      </c>
      <c r="J18" s="108">
        <f t="shared" si="2"/>
        <v>11598.04</v>
      </c>
      <c r="K18" s="180" t="s">
        <v>45</v>
      </c>
      <c r="L18" s="48">
        <f t="shared" si="3"/>
        <v>1159.8040000000001</v>
      </c>
      <c r="M18" s="48">
        <f t="shared" si="3"/>
        <v>1159.8040000000001</v>
      </c>
      <c r="N18" s="48">
        <f t="shared" si="3"/>
        <v>1159.8040000000001</v>
      </c>
      <c r="O18" s="38"/>
      <c r="P18" s="181">
        <f t="shared" si="4"/>
        <v>603.0980800000001</v>
      </c>
      <c r="Q18" s="37">
        <f t="shared" si="4"/>
        <v>527.71082000000001</v>
      </c>
      <c r="R18" s="37">
        <f t="shared" si="4"/>
        <v>452.32356000000004</v>
      </c>
      <c r="W18" s="82"/>
    </row>
    <row r="19" spans="1:23" ht="15" customHeight="1">
      <c r="A19" s="195">
        <v>18</v>
      </c>
      <c r="B19" s="96" t="s">
        <v>272</v>
      </c>
      <c r="C19" s="196" t="s">
        <v>273</v>
      </c>
      <c r="D19" s="197">
        <v>0</v>
      </c>
      <c r="E19" s="32">
        <v>2015</v>
      </c>
      <c r="F19" s="32">
        <v>10</v>
      </c>
      <c r="G19" s="32">
        <f t="shared" si="1"/>
        <v>2024</v>
      </c>
      <c r="H19" s="179">
        <v>1</v>
      </c>
      <c r="I19" s="104">
        <v>7862.41</v>
      </c>
      <c r="J19" s="108">
        <f t="shared" si="2"/>
        <v>7862.41</v>
      </c>
      <c r="K19" s="180" t="s">
        <v>43</v>
      </c>
      <c r="L19" s="48">
        <f t="shared" si="3"/>
        <v>786.24099999999999</v>
      </c>
      <c r="M19" s="48">
        <f t="shared" si="3"/>
        <v>786.24099999999999</v>
      </c>
      <c r="N19" s="48">
        <f t="shared" si="3"/>
        <v>786.24099999999999</v>
      </c>
      <c r="O19" s="38"/>
      <c r="P19" s="181">
        <f t="shared" si="4"/>
        <v>459.950985</v>
      </c>
      <c r="Q19" s="37">
        <f t="shared" si="4"/>
        <v>408.84532000000002</v>
      </c>
      <c r="R19" s="37">
        <f t="shared" si="4"/>
        <v>357.73965500000003</v>
      </c>
      <c r="W19" s="82"/>
    </row>
    <row r="20" spans="1:23" ht="15" customHeight="1">
      <c r="A20" s="195">
        <v>19</v>
      </c>
      <c r="B20" s="96" t="s">
        <v>275</v>
      </c>
      <c r="C20" s="196" t="s">
        <v>274</v>
      </c>
      <c r="D20" s="197">
        <v>0</v>
      </c>
      <c r="E20" s="32">
        <v>2011</v>
      </c>
      <c r="F20" s="32">
        <v>15</v>
      </c>
      <c r="G20" s="32">
        <f t="shared" si="1"/>
        <v>2025</v>
      </c>
      <c r="H20" s="179">
        <v>1</v>
      </c>
      <c r="I20" s="104">
        <v>2199.9899999999998</v>
      </c>
      <c r="J20" s="108">
        <f t="shared" si="2"/>
        <v>2199.9899999999998</v>
      </c>
      <c r="K20" s="180" t="s">
        <v>43</v>
      </c>
      <c r="L20" s="48">
        <f t="shared" si="3"/>
        <v>146.666</v>
      </c>
      <c r="M20" s="48">
        <f t="shared" si="3"/>
        <v>146.666</v>
      </c>
      <c r="N20" s="48">
        <f t="shared" si="3"/>
        <v>146.666</v>
      </c>
      <c r="O20" s="38"/>
      <c r="P20" s="181">
        <f t="shared" si="4"/>
        <v>95.332900000000009</v>
      </c>
      <c r="Q20" s="37">
        <f t="shared" si="4"/>
        <v>85.799610000000001</v>
      </c>
      <c r="R20" s="37">
        <f t="shared" si="4"/>
        <v>76.266320000000007</v>
      </c>
      <c r="W20" s="82"/>
    </row>
    <row r="21" spans="1:23" ht="15" customHeight="1">
      <c r="A21" s="195">
        <v>20</v>
      </c>
      <c r="B21" s="96" t="s">
        <v>277</v>
      </c>
      <c r="C21" s="196" t="s">
        <v>276</v>
      </c>
      <c r="D21" s="197">
        <v>0</v>
      </c>
      <c r="E21" s="32">
        <v>2009</v>
      </c>
      <c r="F21" s="32">
        <v>4</v>
      </c>
      <c r="G21" s="32">
        <f t="shared" si="1"/>
        <v>2012</v>
      </c>
      <c r="H21" s="179">
        <v>1</v>
      </c>
      <c r="I21" s="104">
        <v>2038.42</v>
      </c>
      <c r="J21" s="108">
        <f t="shared" si="2"/>
        <v>2038.42</v>
      </c>
      <c r="K21" s="180" t="s">
        <v>43</v>
      </c>
      <c r="L21" s="48">
        <f t="shared" si="3"/>
        <v>0</v>
      </c>
      <c r="M21" s="48">
        <f t="shared" si="3"/>
        <v>0</v>
      </c>
      <c r="N21" s="48">
        <f t="shared" si="3"/>
        <v>0</v>
      </c>
      <c r="O21" s="38"/>
      <c r="P21" s="181">
        <f t="shared" si="4"/>
        <v>0</v>
      </c>
      <c r="Q21" s="37">
        <f t="shared" si="4"/>
        <v>0</v>
      </c>
      <c r="R21" s="37">
        <f t="shared" si="4"/>
        <v>0</v>
      </c>
      <c r="W21" s="82"/>
    </row>
    <row r="22" spans="1:23" ht="15" customHeight="1">
      <c r="A22" s="195">
        <v>21</v>
      </c>
      <c r="B22" s="96" t="s">
        <v>278</v>
      </c>
      <c r="C22" s="196" t="s">
        <v>281</v>
      </c>
      <c r="D22" s="197">
        <v>0</v>
      </c>
      <c r="E22" s="32">
        <v>2013</v>
      </c>
      <c r="F22" s="32">
        <v>15</v>
      </c>
      <c r="G22" s="32">
        <f t="shared" si="1"/>
        <v>2027</v>
      </c>
      <c r="H22" s="179">
        <v>1</v>
      </c>
      <c r="I22" s="104">
        <v>2618</v>
      </c>
      <c r="J22" s="108">
        <f t="shared" si="2"/>
        <v>2618</v>
      </c>
      <c r="K22" s="180"/>
      <c r="L22" s="48">
        <f t="shared" si="3"/>
        <v>174.53333333333333</v>
      </c>
      <c r="M22" s="48">
        <f t="shared" si="3"/>
        <v>174.53333333333333</v>
      </c>
      <c r="N22" s="48">
        <f t="shared" si="3"/>
        <v>174.53333333333333</v>
      </c>
      <c r="O22" s="38"/>
      <c r="P22" s="181">
        <f t="shared" si="4"/>
        <v>136.13600000000002</v>
      </c>
      <c r="Q22" s="37">
        <f t="shared" si="4"/>
        <v>124.79133333333334</v>
      </c>
      <c r="R22" s="37">
        <f t="shared" si="4"/>
        <v>113.44666666666669</v>
      </c>
      <c r="W22" s="82"/>
    </row>
    <row r="23" spans="1:23" ht="15" customHeight="1">
      <c r="A23" s="195">
        <v>22</v>
      </c>
      <c r="B23" s="96" t="s">
        <v>279</v>
      </c>
      <c r="C23" s="196" t="s">
        <v>282</v>
      </c>
      <c r="D23" s="197">
        <v>0</v>
      </c>
      <c r="E23" s="32">
        <v>2014</v>
      </c>
      <c r="F23" s="32">
        <v>15</v>
      </c>
      <c r="G23" s="32">
        <f t="shared" si="1"/>
        <v>2028</v>
      </c>
      <c r="H23" s="179">
        <v>1</v>
      </c>
      <c r="I23" s="104">
        <v>1</v>
      </c>
      <c r="J23" s="108">
        <f t="shared" si="2"/>
        <v>1</v>
      </c>
      <c r="K23" s="180" t="s">
        <v>43</v>
      </c>
      <c r="L23" s="48">
        <f t="shared" si="3"/>
        <v>6.6666666666666666E-2</v>
      </c>
      <c r="M23" s="48">
        <f t="shared" si="3"/>
        <v>6.6666666666666666E-2</v>
      </c>
      <c r="N23" s="48">
        <f t="shared" si="3"/>
        <v>6.6666666666666666E-2</v>
      </c>
      <c r="O23" s="38"/>
      <c r="P23" s="181">
        <f t="shared" si="4"/>
        <v>5.6333333333333339E-2</v>
      </c>
      <c r="Q23" s="37">
        <f t="shared" si="4"/>
        <v>5.2000000000000005E-2</v>
      </c>
      <c r="R23" s="37">
        <f t="shared" si="4"/>
        <v>4.766666666666667E-2</v>
      </c>
      <c r="W23" s="82"/>
    </row>
    <row r="24" spans="1:23" ht="15" customHeight="1">
      <c r="A24" s="195">
        <v>23</v>
      </c>
      <c r="B24" s="96" t="s">
        <v>280</v>
      </c>
      <c r="C24" s="196" t="s">
        <v>283</v>
      </c>
      <c r="D24" s="197">
        <v>0</v>
      </c>
      <c r="E24" s="32">
        <v>2015</v>
      </c>
      <c r="F24" s="32">
        <v>15</v>
      </c>
      <c r="G24" s="32">
        <f t="shared" si="1"/>
        <v>2029</v>
      </c>
      <c r="H24" s="179">
        <v>1</v>
      </c>
      <c r="I24" s="104">
        <v>1999.2</v>
      </c>
      <c r="J24" s="108">
        <f t="shared" si="2"/>
        <v>1999.2</v>
      </c>
      <c r="K24" s="180" t="s">
        <v>43</v>
      </c>
      <c r="L24" s="48">
        <f t="shared" si="3"/>
        <v>133.28</v>
      </c>
      <c r="M24" s="48">
        <f t="shared" si="3"/>
        <v>133.28</v>
      </c>
      <c r="N24" s="48">
        <f t="shared" si="3"/>
        <v>133.28</v>
      </c>
      <c r="O24" s="38"/>
      <c r="P24" s="181">
        <f t="shared" si="4"/>
        <v>121.2848</v>
      </c>
      <c r="Q24" s="37">
        <f t="shared" si="4"/>
        <v>112.62160000000002</v>
      </c>
      <c r="R24" s="37">
        <f t="shared" si="4"/>
        <v>103.95840000000001</v>
      </c>
      <c r="W24" s="82"/>
    </row>
    <row r="25" spans="1:23" ht="15" customHeight="1">
      <c r="A25" s="195">
        <v>24</v>
      </c>
      <c r="B25" s="96" t="s">
        <v>285</v>
      </c>
      <c r="C25" s="196" t="s">
        <v>284</v>
      </c>
      <c r="D25" s="197">
        <v>0</v>
      </c>
      <c r="E25" s="32">
        <v>1999</v>
      </c>
      <c r="F25" s="32">
        <v>20</v>
      </c>
      <c r="G25" s="32">
        <f t="shared" si="1"/>
        <v>2018</v>
      </c>
      <c r="H25" s="179">
        <v>1</v>
      </c>
      <c r="I25" s="104">
        <v>69186.48</v>
      </c>
      <c r="J25" s="108">
        <f t="shared" si="2"/>
        <v>69186.48</v>
      </c>
      <c r="K25" s="182" t="s">
        <v>138</v>
      </c>
      <c r="L25" s="48">
        <f t="shared" si="3"/>
        <v>3459.3239999999996</v>
      </c>
      <c r="M25" s="48">
        <f t="shared" si="3"/>
        <v>3459.3239999999996</v>
      </c>
      <c r="N25" s="48">
        <f t="shared" si="3"/>
        <v>3459.3239999999996</v>
      </c>
      <c r="O25" s="38"/>
      <c r="P25" s="181">
        <f t="shared" si="4"/>
        <v>674.5681800000001</v>
      </c>
      <c r="Q25" s="37">
        <f t="shared" si="4"/>
        <v>449.71211999999991</v>
      </c>
      <c r="R25" s="37">
        <f t="shared" si="4"/>
        <v>224.85606000000018</v>
      </c>
      <c r="W25" s="82"/>
    </row>
    <row r="26" spans="1:23" ht="15" customHeight="1">
      <c r="A26" s="195">
        <v>25</v>
      </c>
      <c r="B26" s="96" t="s">
        <v>286</v>
      </c>
      <c r="C26" s="196" t="s">
        <v>298</v>
      </c>
      <c r="D26" s="197">
        <v>0</v>
      </c>
      <c r="E26" s="32">
        <v>1998</v>
      </c>
      <c r="F26" s="32">
        <v>20</v>
      </c>
      <c r="G26" s="32">
        <f t="shared" si="1"/>
        <v>2017</v>
      </c>
      <c r="H26" s="179">
        <v>1</v>
      </c>
      <c r="I26" s="104">
        <v>239173.14</v>
      </c>
      <c r="J26" s="108">
        <f t="shared" si="2"/>
        <v>239173.14</v>
      </c>
      <c r="K26" s="180" t="s">
        <v>133</v>
      </c>
      <c r="L26" s="48">
        <f t="shared" si="3"/>
        <v>11958.657000000001</v>
      </c>
      <c r="M26" s="48">
        <f t="shared" si="3"/>
        <v>11958.657000000001</v>
      </c>
      <c r="N26" s="48">
        <f t="shared" si="3"/>
        <v>0</v>
      </c>
      <c r="O26" s="38"/>
      <c r="P26" s="181">
        <f t="shared" si="4"/>
        <v>1554.6254099999996</v>
      </c>
      <c r="Q26" s="37">
        <f t="shared" si="4"/>
        <v>777.31270500000085</v>
      </c>
      <c r="R26" s="37">
        <f t="shared" si="4"/>
        <v>0</v>
      </c>
      <c r="W26" s="82"/>
    </row>
    <row r="27" spans="1:23" ht="15" customHeight="1">
      <c r="A27" s="195">
        <v>26</v>
      </c>
      <c r="B27" s="96" t="s">
        <v>287</v>
      </c>
      <c r="C27" s="196" t="s">
        <v>299</v>
      </c>
      <c r="D27" s="197">
        <v>0</v>
      </c>
      <c r="E27" s="32">
        <v>1992</v>
      </c>
      <c r="F27" s="32">
        <v>20</v>
      </c>
      <c r="G27" s="32">
        <f t="shared" si="1"/>
        <v>2011</v>
      </c>
      <c r="H27" s="179">
        <v>1</v>
      </c>
      <c r="I27" s="104">
        <v>225125</v>
      </c>
      <c r="J27" s="108">
        <f t="shared" si="2"/>
        <v>225125</v>
      </c>
      <c r="K27" s="180"/>
      <c r="L27" s="48">
        <f t="shared" si="3"/>
        <v>0</v>
      </c>
      <c r="M27" s="48">
        <f t="shared" si="3"/>
        <v>0</v>
      </c>
      <c r="N27" s="48">
        <f t="shared" si="3"/>
        <v>0</v>
      </c>
      <c r="O27" s="38"/>
      <c r="P27" s="181">
        <f t="shared" si="4"/>
        <v>0</v>
      </c>
      <c r="Q27" s="37">
        <f t="shared" si="4"/>
        <v>0</v>
      </c>
      <c r="R27" s="37">
        <f t="shared" si="4"/>
        <v>0</v>
      </c>
      <c r="W27" s="82"/>
    </row>
    <row r="28" spans="1:23" ht="15" customHeight="1">
      <c r="A28" s="195">
        <v>27</v>
      </c>
      <c r="B28" s="96" t="s">
        <v>288</v>
      </c>
      <c r="C28" s="196" t="s">
        <v>300</v>
      </c>
      <c r="D28" s="197">
        <v>0</v>
      </c>
      <c r="E28" s="32">
        <v>1990</v>
      </c>
      <c r="F28" s="32">
        <v>20</v>
      </c>
      <c r="G28" s="32">
        <f t="shared" si="1"/>
        <v>2009</v>
      </c>
      <c r="H28" s="179">
        <v>1</v>
      </c>
      <c r="I28" s="104">
        <v>80478</v>
      </c>
      <c r="J28" s="108">
        <f t="shared" si="2"/>
        <v>80478</v>
      </c>
      <c r="K28" s="180"/>
      <c r="L28" s="48">
        <f t="shared" si="3"/>
        <v>0</v>
      </c>
      <c r="M28" s="48">
        <f t="shared" si="3"/>
        <v>0</v>
      </c>
      <c r="N28" s="48">
        <f t="shared" si="3"/>
        <v>0</v>
      </c>
      <c r="O28" s="38"/>
      <c r="P28" s="181">
        <f t="shared" si="4"/>
        <v>0</v>
      </c>
      <c r="Q28" s="37">
        <f t="shared" si="4"/>
        <v>0</v>
      </c>
      <c r="R28" s="37">
        <f t="shared" si="4"/>
        <v>0</v>
      </c>
      <c r="W28" s="82"/>
    </row>
    <row r="29" spans="1:23" ht="15" customHeight="1">
      <c r="A29" s="195">
        <v>28</v>
      </c>
      <c r="B29" s="96" t="s">
        <v>289</v>
      </c>
      <c r="C29" s="196" t="s">
        <v>494</v>
      </c>
      <c r="D29" s="197">
        <v>0</v>
      </c>
      <c r="E29" s="32">
        <v>2005</v>
      </c>
      <c r="F29" s="32">
        <v>20</v>
      </c>
      <c r="G29" s="32">
        <f>IF(ISBLANK(F29),"",+E29+F29-1)</f>
        <v>2024</v>
      </c>
      <c r="H29" s="179">
        <v>1</v>
      </c>
      <c r="I29" s="104">
        <v>143348</v>
      </c>
      <c r="J29" s="108">
        <f t="shared" si="2"/>
        <v>143348</v>
      </c>
      <c r="K29" s="180" t="s">
        <v>141</v>
      </c>
      <c r="L29" s="48">
        <f t="shared" ref="L29:N31" si="5">+IF(L$1&lt;$E29,0,IF(L$1&gt;$G29,0,IF($F29="",0,IF(AND($J29&lt;0,$T$3=1),0,$J29/$F29))))*(1-$D29)</f>
        <v>7167.4</v>
      </c>
      <c r="M29" s="48">
        <f t="shared" si="5"/>
        <v>7167.4</v>
      </c>
      <c r="N29" s="48">
        <f t="shared" si="5"/>
        <v>7167.4</v>
      </c>
      <c r="O29" s="38"/>
      <c r="P29" s="181">
        <f t="shared" ref="P29:R31" si="6">+IF(P$1&lt;$E29,0,IF(P$1&gt;$G29,0,$J29*IF($F29="",1,CHOOSE($T$2,1-((P$1-$E29)/$F29),0.5))))*$T$1*(1-$D29)</f>
        <v>4192.9289999999992</v>
      </c>
      <c r="Q29" s="37">
        <f t="shared" si="6"/>
        <v>3727.0480000000002</v>
      </c>
      <c r="R29" s="37">
        <f t="shared" si="6"/>
        <v>3261.1669999999999</v>
      </c>
      <c r="S29" s="1" t="s">
        <v>468</v>
      </c>
      <c r="W29" s="82"/>
    </row>
    <row r="30" spans="1:23" ht="15" customHeight="1">
      <c r="A30" s="195">
        <v>29</v>
      </c>
      <c r="B30" s="96" t="s">
        <v>501</v>
      </c>
      <c r="C30" s="196" t="s">
        <v>493</v>
      </c>
      <c r="D30" s="197">
        <v>0</v>
      </c>
      <c r="E30" s="32">
        <v>2005</v>
      </c>
      <c r="F30" s="32">
        <v>20</v>
      </c>
      <c r="G30" s="32">
        <f t="shared" si="1"/>
        <v>2024</v>
      </c>
      <c r="H30" s="179">
        <v>1</v>
      </c>
      <c r="I30" s="104">
        <v>86640</v>
      </c>
      <c r="J30" s="108">
        <f t="shared" si="2"/>
        <v>86640</v>
      </c>
      <c r="K30" s="183" t="s">
        <v>493</v>
      </c>
      <c r="L30" s="48">
        <f t="shared" si="5"/>
        <v>4332</v>
      </c>
      <c r="M30" s="48">
        <f t="shared" si="5"/>
        <v>4332</v>
      </c>
      <c r="N30" s="48">
        <f t="shared" si="5"/>
        <v>4332</v>
      </c>
      <c r="O30" s="38"/>
      <c r="P30" s="181">
        <f t="shared" si="6"/>
        <v>2534.2199999999998</v>
      </c>
      <c r="Q30" s="37">
        <f t="shared" si="6"/>
        <v>2252.64</v>
      </c>
      <c r="R30" s="37">
        <f t="shared" si="6"/>
        <v>1971.0599999999997</v>
      </c>
      <c r="W30" s="82"/>
    </row>
    <row r="31" spans="1:23" ht="15" customHeight="1">
      <c r="A31" s="195">
        <v>30</v>
      </c>
      <c r="B31" s="96" t="s">
        <v>502</v>
      </c>
      <c r="C31" s="196" t="s">
        <v>491</v>
      </c>
      <c r="D31" s="197">
        <v>0</v>
      </c>
      <c r="E31" s="32">
        <v>2005</v>
      </c>
      <c r="F31" s="32">
        <v>20</v>
      </c>
      <c r="G31" s="32">
        <f>IF(ISBLANK(F31),"",+E31+F31-1)</f>
        <v>2024</v>
      </c>
      <c r="H31" s="179">
        <v>1</v>
      </c>
      <c r="I31" s="104">
        <v>6064</v>
      </c>
      <c r="J31" s="108">
        <f t="shared" si="2"/>
        <v>6064</v>
      </c>
      <c r="K31" s="183" t="s">
        <v>491</v>
      </c>
      <c r="L31" s="48">
        <f t="shared" si="5"/>
        <v>303.2</v>
      </c>
      <c r="M31" s="48">
        <f t="shared" si="5"/>
        <v>303.2</v>
      </c>
      <c r="N31" s="48">
        <f t="shared" si="5"/>
        <v>303.2</v>
      </c>
      <c r="O31" s="38"/>
      <c r="P31" s="181">
        <f t="shared" si="6"/>
        <v>177.37199999999999</v>
      </c>
      <c r="Q31" s="37">
        <f t="shared" si="6"/>
        <v>157.66399999999999</v>
      </c>
      <c r="R31" s="37">
        <f t="shared" si="6"/>
        <v>137.95600000000002</v>
      </c>
      <c r="W31" s="82"/>
    </row>
    <row r="32" spans="1:23" ht="15" customHeight="1">
      <c r="A32" s="195">
        <v>31</v>
      </c>
      <c r="B32" s="96" t="s">
        <v>290</v>
      </c>
      <c r="C32" s="196" t="s">
        <v>301</v>
      </c>
      <c r="D32" s="197">
        <v>0</v>
      </c>
      <c r="E32" s="32">
        <v>2006</v>
      </c>
      <c r="F32" s="32">
        <v>20</v>
      </c>
      <c r="G32" s="32">
        <f t="shared" si="1"/>
        <v>2025</v>
      </c>
      <c r="H32" s="179">
        <v>1</v>
      </c>
      <c r="I32" s="104">
        <v>51042.66</v>
      </c>
      <c r="J32" s="108">
        <f t="shared" si="2"/>
        <v>51042.66</v>
      </c>
      <c r="K32" s="182" t="s">
        <v>130</v>
      </c>
      <c r="L32" s="48">
        <f t="shared" si="3"/>
        <v>2552.1330000000003</v>
      </c>
      <c r="M32" s="48">
        <f t="shared" si="3"/>
        <v>2552.1330000000003</v>
      </c>
      <c r="N32" s="48">
        <f t="shared" si="3"/>
        <v>2552.1330000000003</v>
      </c>
      <c r="O32" s="38"/>
      <c r="P32" s="181">
        <f t="shared" si="4"/>
        <v>1658.8864500000002</v>
      </c>
      <c r="Q32" s="37">
        <f t="shared" si="4"/>
        <v>1492.997805</v>
      </c>
      <c r="R32" s="37">
        <f t="shared" si="4"/>
        <v>1327.1091600000002</v>
      </c>
      <c r="W32" s="82"/>
    </row>
    <row r="33" spans="1:23" ht="15" customHeight="1">
      <c r="A33" s="195">
        <v>32</v>
      </c>
      <c r="B33" s="96" t="s">
        <v>291</v>
      </c>
      <c r="C33" s="196" t="s">
        <v>302</v>
      </c>
      <c r="D33" s="197">
        <v>0</v>
      </c>
      <c r="E33" s="32">
        <v>1987</v>
      </c>
      <c r="F33" s="32">
        <v>20</v>
      </c>
      <c r="G33" s="32">
        <f t="shared" si="1"/>
        <v>2006</v>
      </c>
      <c r="H33" s="179">
        <v>1</v>
      </c>
      <c r="I33" s="104">
        <v>146585</v>
      </c>
      <c r="J33" s="108">
        <f t="shared" si="2"/>
        <v>146585</v>
      </c>
      <c r="K33" s="180" t="s">
        <v>133</v>
      </c>
      <c r="L33" s="48">
        <f t="shared" si="3"/>
        <v>0</v>
      </c>
      <c r="M33" s="48">
        <f t="shared" si="3"/>
        <v>0</v>
      </c>
      <c r="N33" s="48">
        <f t="shared" si="3"/>
        <v>0</v>
      </c>
      <c r="O33" s="38"/>
      <c r="P33" s="181">
        <f t="shared" si="4"/>
        <v>0</v>
      </c>
      <c r="Q33" s="37">
        <f t="shared" si="4"/>
        <v>0</v>
      </c>
      <c r="R33" s="37">
        <f t="shared" si="4"/>
        <v>0</v>
      </c>
      <c r="W33" s="82"/>
    </row>
    <row r="34" spans="1:23" ht="15" customHeight="1">
      <c r="A34" s="195">
        <v>33</v>
      </c>
      <c r="B34" s="96" t="s">
        <v>292</v>
      </c>
      <c r="C34" s="196" t="s">
        <v>303</v>
      </c>
      <c r="D34" s="197">
        <v>0</v>
      </c>
      <c r="E34" s="32">
        <v>2004</v>
      </c>
      <c r="F34" s="32">
        <v>20</v>
      </c>
      <c r="G34" s="32">
        <f t="shared" si="1"/>
        <v>2023</v>
      </c>
      <c r="H34" s="179">
        <v>1</v>
      </c>
      <c r="I34" s="104">
        <v>84067.6</v>
      </c>
      <c r="J34" s="108">
        <f t="shared" si="2"/>
        <v>84067.6</v>
      </c>
      <c r="K34" s="180" t="s">
        <v>48</v>
      </c>
      <c r="L34" s="48">
        <f t="shared" si="3"/>
        <v>4203.38</v>
      </c>
      <c r="M34" s="48">
        <f t="shared" si="3"/>
        <v>4203.38</v>
      </c>
      <c r="N34" s="48">
        <f t="shared" si="3"/>
        <v>4203.38</v>
      </c>
      <c r="O34" s="38"/>
      <c r="P34" s="181">
        <f t="shared" si="4"/>
        <v>2185.7575999999999</v>
      </c>
      <c r="Q34" s="37">
        <f t="shared" si="4"/>
        <v>1912.5379</v>
      </c>
      <c r="R34" s="37">
        <f t="shared" si="4"/>
        <v>1639.3182000000004</v>
      </c>
      <c r="W34" s="82"/>
    </row>
    <row r="35" spans="1:23" ht="15" customHeight="1">
      <c r="A35" s="195">
        <v>34</v>
      </c>
      <c r="B35" s="96" t="s">
        <v>293</v>
      </c>
      <c r="C35" s="196" t="s">
        <v>304</v>
      </c>
      <c r="D35" s="197">
        <v>0</v>
      </c>
      <c r="E35" s="32">
        <v>2007</v>
      </c>
      <c r="F35" s="32">
        <v>20</v>
      </c>
      <c r="G35" s="32">
        <f t="shared" si="1"/>
        <v>2026</v>
      </c>
      <c r="H35" s="179">
        <v>1</v>
      </c>
      <c r="I35" s="104">
        <v>395068.13</v>
      </c>
      <c r="J35" s="108">
        <f t="shared" si="2"/>
        <v>395068.13</v>
      </c>
      <c r="K35" s="180" t="s">
        <v>129</v>
      </c>
      <c r="L35" s="48">
        <f t="shared" si="3"/>
        <v>19753.406500000001</v>
      </c>
      <c r="M35" s="48">
        <f t="shared" si="3"/>
        <v>19753.406500000001</v>
      </c>
      <c r="N35" s="48">
        <f t="shared" si="3"/>
        <v>19753.406500000001</v>
      </c>
      <c r="O35" s="38"/>
      <c r="P35" s="181">
        <f t="shared" si="4"/>
        <v>14123.685647500002</v>
      </c>
      <c r="Q35" s="37">
        <f t="shared" si="4"/>
        <v>12839.714225</v>
      </c>
      <c r="R35" s="37">
        <f t="shared" si="4"/>
        <v>11555.742802499999</v>
      </c>
      <c r="W35" s="82"/>
    </row>
    <row r="36" spans="1:23" ht="15" customHeight="1">
      <c r="A36" s="195">
        <v>35</v>
      </c>
      <c r="B36" s="96" t="s">
        <v>294</v>
      </c>
      <c r="C36" s="196" t="s">
        <v>305</v>
      </c>
      <c r="D36" s="197">
        <v>0</v>
      </c>
      <c r="E36" s="32">
        <v>2012</v>
      </c>
      <c r="F36" s="32">
        <v>20</v>
      </c>
      <c r="G36" s="32">
        <f t="shared" si="1"/>
        <v>2031</v>
      </c>
      <c r="H36" s="179">
        <v>1</v>
      </c>
      <c r="I36" s="104">
        <v>0</v>
      </c>
      <c r="J36" s="108">
        <f t="shared" si="2"/>
        <v>0</v>
      </c>
      <c r="K36" s="180" t="s">
        <v>43</v>
      </c>
      <c r="L36" s="48">
        <f t="shared" si="3"/>
        <v>0</v>
      </c>
      <c r="M36" s="48">
        <f t="shared" si="3"/>
        <v>0</v>
      </c>
      <c r="N36" s="48">
        <f t="shared" si="3"/>
        <v>0</v>
      </c>
      <c r="O36" s="38"/>
      <c r="P36" s="181">
        <f t="shared" si="4"/>
        <v>0</v>
      </c>
      <c r="Q36" s="37">
        <f t="shared" si="4"/>
        <v>0</v>
      </c>
      <c r="R36" s="37">
        <f t="shared" si="4"/>
        <v>0</v>
      </c>
      <c r="W36" s="82"/>
    </row>
    <row r="37" spans="1:23" ht="15" customHeight="1">
      <c r="A37" s="195">
        <v>36</v>
      </c>
      <c r="B37" s="96" t="s">
        <v>295</v>
      </c>
      <c r="C37" s="196" t="s">
        <v>306</v>
      </c>
      <c r="D37" s="197">
        <v>0</v>
      </c>
      <c r="E37" s="32">
        <v>2012</v>
      </c>
      <c r="F37" s="32">
        <v>20</v>
      </c>
      <c r="G37" s="32">
        <f t="shared" si="1"/>
        <v>2031</v>
      </c>
      <c r="H37" s="179">
        <v>1</v>
      </c>
      <c r="I37" s="104">
        <v>0</v>
      </c>
      <c r="J37" s="108">
        <f t="shared" si="2"/>
        <v>0</v>
      </c>
      <c r="K37" s="180" t="s">
        <v>131</v>
      </c>
      <c r="L37" s="48">
        <f t="shared" ref="L37:N68" si="7">+IF(L$1&lt;$E37,0,IF(L$1&gt;$G37,0,IF($F37="",0,IF(AND($J37&lt;0,$T$3=1),0,$J37/$F37))))*(1-$D37)</f>
        <v>0</v>
      </c>
      <c r="M37" s="48">
        <f t="shared" si="7"/>
        <v>0</v>
      </c>
      <c r="N37" s="48">
        <f t="shared" si="7"/>
        <v>0</v>
      </c>
      <c r="O37" s="38"/>
      <c r="P37" s="181">
        <f t="shared" ref="P37:R68" si="8">+IF(P$1&lt;$E37,0,IF(P$1&gt;$G37,0,$J37*IF($F37="",1,CHOOSE($T$2,1-((P$1-$E37)/$F37),0.5))))*$T$1*(1-$D37)</f>
        <v>0</v>
      </c>
      <c r="Q37" s="37">
        <f t="shared" si="8"/>
        <v>0</v>
      </c>
      <c r="R37" s="37">
        <f t="shared" si="8"/>
        <v>0</v>
      </c>
      <c r="W37" s="82"/>
    </row>
    <row r="38" spans="1:23" ht="15" customHeight="1">
      <c r="A38" s="195">
        <v>37</v>
      </c>
      <c r="B38" s="96" t="s">
        <v>296</v>
      </c>
      <c r="C38" s="196" t="s">
        <v>307</v>
      </c>
      <c r="D38" s="197">
        <v>0</v>
      </c>
      <c r="E38" s="32">
        <v>2014</v>
      </c>
      <c r="F38" s="32">
        <v>20</v>
      </c>
      <c r="G38" s="32">
        <f t="shared" si="1"/>
        <v>2033</v>
      </c>
      <c r="H38" s="179">
        <v>1</v>
      </c>
      <c r="I38" s="104">
        <v>319894.23</v>
      </c>
      <c r="J38" s="108">
        <f t="shared" si="2"/>
        <v>319894.23</v>
      </c>
      <c r="K38" s="180" t="s">
        <v>128</v>
      </c>
      <c r="L38" s="48">
        <f t="shared" si="7"/>
        <v>15994.711499999999</v>
      </c>
      <c r="M38" s="48">
        <f t="shared" si="7"/>
        <v>15994.711499999999</v>
      </c>
      <c r="N38" s="48">
        <f t="shared" si="7"/>
        <v>15994.711499999999</v>
      </c>
      <c r="O38" s="38"/>
      <c r="P38" s="181">
        <f t="shared" si="8"/>
        <v>18713.812454999999</v>
      </c>
      <c r="Q38" s="37">
        <f t="shared" si="8"/>
        <v>17674.1562075</v>
      </c>
      <c r="R38" s="37">
        <f t="shared" si="8"/>
        <v>16634.499960000001</v>
      </c>
      <c r="W38" s="82"/>
    </row>
    <row r="39" spans="1:23" ht="15" customHeight="1">
      <c r="A39" s="195">
        <v>38</v>
      </c>
      <c r="B39" s="96" t="s">
        <v>297</v>
      </c>
      <c r="C39" s="196" t="s">
        <v>308</v>
      </c>
      <c r="D39" s="197">
        <v>0</v>
      </c>
      <c r="E39" s="32">
        <v>2015</v>
      </c>
      <c r="F39" s="32">
        <v>20</v>
      </c>
      <c r="G39" s="32">
        <f t="shared" si="1"/>
        <v>2034</v>
      </c>
      <c r="H39" s="179">
        <v>1</v>
      </c>
      <c r="I39" s="104">
        <v>415011.46</v>
      </c>
      <c r="J39" s="108">
        <f t="shared" si="2"/>
        <v>415011.46</v>
      </c>
      <c r="K39" s="180" t="s">
        <v>128</v>
      </c>
      <c r="L39" s="48">
        <f t="shared" si="7"/>
        <v>20750.573</v>
      </c>
      <c r="M39" s="48">
        <f t="shared" si="7"/>
        <v>20750.573</v>
      </c>
      <c r="N39" s="48">
        <f t="shared" si="7"/>
        <v>20750.573</v>
      </c>
      <c r="O39" s="38"/>
      <c r="P39" s="181">
        <f t="shared" si="8"/>
        <v>25626.957654999998</v>
      </c>
      <c r="Q39" s="37">
        <f t="shared" si="8"/>
        <v>24278.170410000002</v>
      </c>
      <c r="R39" s="37">
        <f t="shared" si="8"/>
        <v>22929.383164999999</v>
      </c>
      <c r="W39" s="82"/>
    </row>
    <row r="40" spans="1:23" ht="15" customHeight="1">
      <c r="A40" s="195">
        <v>39</v>
      </c>
      <c r="B40" s="96" t="s">
        <v>309</v>
      </c>
      <c r="C40" s="196" t="s">
        <v>310</v>
      </c>
      <c r="D40" s="197">
        <v>0</v>
      </c>
      <c r="E40" s="32">
        <v>2003</v>
      </c>
      <c r="F40" s="32">
        <v>8</v>
      </c>
      <c r="G40" s="32">
        <f t="shared" si="1"/>
        <v>2010</v>
      </c>
      <c r="H40" s="179">
        <v>1</v>
      </c>
      <c r="I40" s="104">
        <v>258809.82</v>
      </c>
      <c r="J40" s="108">
        <f t="shared" si="2"/>
        <v>258809.82</v>
      </c>
      <c r="K40" s="182" t="s">
        <v>41</v>
      </c>
      <c r="L40" s="48">
        <f t="shared" si="7"/>
        <v>0</v>
      </c>
      <c r="M40" s="48">
        <f t="shared" si="7"/>
        <v>0</v>
      </c>
      <c r="N40" s="48">
        <f t="shared" si="7"/>
        <v>0</v>
      </c>
      <c r="O40" s="38"/>
      <c r="P40" s="181">
        <f t="shared" si="8"/>
        <v>0</v>
      </c>
      <c r="Q40" s="37">
        <f t="shared" si="8"/>
        <v>0</v>
      </c>
      <c r="R40" s="37">
        <f t="shared" si="8"/>
        <v>0</v>
      </c>
      <c r="W40" s="82"/>
    </row>
    <row r="41" spans="1:23" ht="15" customHeight="1">
      <c r="A41" s="195">
        <v>40</v>
      </c>
      <c r="B41" s="96" t="s">
        <v>311</v>
      </c>
      <c r="C41" s="196" t="s">
        <v>312</v>
      </c>
      <c r="D41" s="197">
        <v>0</v>
      </c>
      <c r="E41" s="32">
        <v>2013</v>
      </c>
      <c r="F41" s="32">
        <v>10</v>
      </c>
      <c r="G41" s="32">
        <f t="shared" si="1"/>
        <v>2022</v>
      </c>
      <c r="H41" s="179">
        <v>1</v>
      </c>
      <c r="I41" s="104">
        <v>39909.230000000003</v>
      </c>
      <c r="J41" s="108">
        <f t="shared" si="2"/>
        <v>39909.230000000003</v>
      </c>
      <c r="K41" s="182" t="s">
        <v>47</v>
      </c>
      <c r="L41" s="48">
        <f t="shared" si="7"/>
        <v>3990.9230000000002</v>
      </c>
      <c r="M41" s="48">
        <f t="shared" si="7"/>
        <v>3990.9230000000002</v>
      </c>
      <c r="N41" s="48">
        <f t="shared" si="7"/>
        <v>3990.9230000000002</v>
      </c>
      <c r="O41" s="38"/>
      <c r="P41" s="181">
        <f t="shared" si="8"/>
        <v>1815.8699650000001</v>
      </c>
      <c r="Q41" s="37">
        <f t="shared" si="8"/>
        <v>1556.4599700000001</v>
      </c>
      <c r="R41" s="37">
        <f t="shared" si="8"/>
        <v>1297.0499750000001</v>
      </c>
      <c r="W41" s="82"/>
    </row>
    <row r="42" spans="1:23" ht="15" customHeight="1">
      <c r="A42" s="195">
        <v>41</v>
      </c>
      <c r="B42" s="96" t="s">
        <v>313</v>
      </c>
      <c r="C42" s="196" t="s">
        <v>469</v>
      </c>
      <c r="D42" s="197">
        <v>0</v>
      </c>
      <c r="E42" s="32">
        <v>1998</v>
      </c>
      <c r="F42" s="32">
        <v>10</v>
      </c>
      <c r="G42" s="32">
        <f t="shared" si="1"/>
        <v>2007</v>
      </c>
      <c r="H42" s="179">
        <v>1</v>
      </c>
      <c r="I42" s="104">
        <v>32739.040000000001</v>
      </c>
      <c r="J42" s="108">
        <f t="shared" si="2"/>
        <v>32739.040000000001</v>
      </c>
      <c r="K42" s="180"/>
      <c r="L42" s="48">
        <f t="shared" si="7"/>
        <v>0</v>
      </c>
      <c r="M42" s="48">
        <f t="shared" si="7"/>
        <v>0</v>
      </c>
      <c r="N42" s="48">
        <f t="shared" si="7"/>
        <v>0</v>
      </c>
      <c r="O42" s="38"/>
      <c r="P42" s="181">
        <f t="shared" si="8"/>
        <v>0</v>
      </c>
      <c r="Q42" s="37">
        <f t="shared" si="8"/>
        <v>0</v>
      </c>
      <c r="R42" s="37">
        <f t="shared" si="8"/>
        <v>0</v>
      </c>
      <c r="W42" s="82"/>
    </row>
    <row r="43" spans="1:23" ht="15" customHeight="1">
      <c r="A43" s="195">
        <v>42</v>
      </c>
      <c r="B43" s="96" t="s">
        <v>314</v>
      </c>
      <c r="C43" s="196" t="s">
        <v>470</v>
      </c>
      <c r="D43" s="197">
        <v>0</v>
      </c>
      <c r="E43" s="32">
        <v>2003</v>
      </c>
      <c r="F43" s="32">
        <v>10</v>
      </c>
      <c r="G43" s="32">
        <f t="shared" si="1"/>
        <v>2012</v>
      </c>
      <c r="H43" s="179">
        <v>1</v>
      </c>
      <c r="I43" s="104">
        <v>29330</v>
      </c>
      <c r="J43" s="108">
        <f t="shared" si="2"/>
        <v>29330</v>
      </c>
      <c r="K43" s="182" t="s">
        <v>50</v>
      </c>
      <c r="L43" s="48">
        <f t="shared" si="7"/>
        <v>0</v>
      </c>
      <c r="M43" s="48">
        <f t="shared" si="7"/>
        <v>0</v>
      </c>
      <c r="N43" s="48">
        <f t="shared" si="7"/>
        <v>0</v>
      </c>
      <c r="O43" s="38"/>
      <c r="P43" s="181">
        <f t="shared" si="8"/>
        <v>0</v>
      </c>
      <c r="Q43" s="37">
        <f t="shared" si="8"/>
        <v>0</v>
      </c>
      <c r="R43" s="37">
        <f t="shared" si="8"/>
        <v>0</v>
      </c>
      <c r="W43" s="82"/>
    </row>
    <row r="44" spans="1:23" ht="15" customHeight="1">
      <c r="A44" s="195">
        <v>43</v>
      </c>
      <c r="B44" s="96" t="s">
        <v>315</v>
      </c>
      <c r="C44" s="196" t="s">
        <v>471</v>
      </c>
      <c r="D44" s="197">
        <v>0</v>
      </c>
      <c r="E44" s="32">
        <v>2015</v>
      </c>
      <c r="F44" s="32">
        <v>10</v>
      </c>
      <c r="G44" s="32">
        <f t="shared" si="1"/>
        <v>2024</v>
      </c>
      <c r="H44" s="179">
        <v>1</v>
      </c>
      <c r="I44" s="104">
        <v>47736.05</v>
      </c>
      <c r="J44" s="108">
        <f t="shared" si="2"/>
        <v>47736.05</v>
      </c>
      <c r="K44" s="182" t="s">
        <v>50</v>
      </c>
      <c r="L44" s="48">
        <f t="shared" si="7"/>
        <v>4773.6050000000005</v>
      </c>
      <c r="M44" s="48">
        <f t="shared" si="7"/>
        <v>4773.6050000000005</v>
      </c>
      <c r="N44" s="48">
        <f t="shared" si="7"/>
        <v>4773.6050000000005</v>
      </c>
      <c r="O44" s="38"/>
      <c r="P44" s="181">
        <f t="shared" si="8"/>
        <v>2792.5589250000007</v>
      </c>
      <c r="Q44" s="37">
        <f t="shared" si="8"/>
        <v>2482.2746000000002</v>
      </c>
      <c r="R44" s="37">
        <f t="shared" si="8"/>
        <v>2171.9902750000001</v>
      </c>
      <c r="W44" s="82"/>
    </row>
    <row r="45" spans="1:23" ht="15" customHeight="1">
      <c r="A45" s="195">
        <v>44</v>
      </c>
      <c r="B45" s="96" t="s">
        <v>317</v>
      </c>
      <c r="C45" s="196" t="s">
        <v>316</v>
      </c>
      <c r="D45" s="197">
        <v>0</v>
      </c>
      <c r="E45" s="32">
        <v>2015</v>
      </c>
      <c r="F45" s="32">
        <v>10</v>
      </c>
      <c r="G45" s="32">
        <f t="shared" si="1"/>
        <v>2024</v>
      </c>
      <c r="H45" s="179">
        <v>1</v>
      </c>
      <c r="I45" s="104">
        <v>11168.12</v>
      </c>
      <c r="J45" s="108">
        <f t="shared" si="2"/>
        <v>11168.12</v>
      </c>
      <c r="K45" s="182" t="s">
        <v>41</v>
      </c>
      <c r="L45" s="48">
        <f t="shared" si="7"/>
        <v>1116.8120000000001</v>
      </c>
      <c r="M45" s="48">
        <f t="shared" si="7"/>
        <v>1116.8120000000001</v>
      </c>
      <c r="N45" s="48">
        <f t="shared" si="7"/>
        <v>1116.8120000000001</v>
      </c>
      <c r="O45" s="38"/>
      <c r="P45" s="181">
        <f t="shared" si="8"/>
        <v>653.3350200000001</v>
      </c>
      <c r="Q45" s="37">
        <f t="shared" si="8"/>
        <v>580.74224000000004</v>
      </c>
      <c r="R45" s="37">
        <f t="shared" si="8"/>
        <v>508.14946000000003</v>
      </c>
      <c r="W45" s="82"/>
    </row>
    <row r="46" spans="1:23" ht="15" customHeight="1">
      <c r="A46" s="195">
        <v>45</v>
      </c>
      <c r="B46" s="96" t="s">
        <v>318</v>
      </c>
      <c r="C46" s="196" t="s">
        <v>325</v>
      </c>
      <c r="D46" s="197">
        <v>0</v>
      </c>
      <c r="E46" s="32">
        <v>2009</v>
      </c>
      <c r="F46" s="32">
        <v>10</v>
      </c>
      <c r="G46" s="32">
        <f t="shared" si="1"/>
        <v>2018</v>
      </c>
      <c r="H46" s="179">
        <v>1</v>
      </c>
      <c r="I46" s="104">
        <v>2507.33</v>
      </c>
      <c r="J46" s="108">
        <f t="shared" si="2"/>
        <v>2507.33</v>
      </c>
      <c r="K46" s="180" t="s">
        <v>53</v>
      </c>
      <c r="L46" s="48">
        <f t="shared" si="7"/>
        <v>250.733</v>
      </c>
      <c r="M46" s="48">
        <f t="shared" si="7"/>
        <v>250.733</v>
      </c>
      <c r="N46" s="48">
        <f t="shared" si="7"/>
        <v>250.733</v>
      </c>
      <c r="O46" s="38"/>
      <c r="P46" s="181">
        <f t="shared" si="8"/>
        <v>48.892935000000008</v>
      </c>
      <c r="Q46" s="37">
        <f t="shared" si="8"/>
        <v>32.595289999999991</v>
      </c>
      <c r="R46" s="37">
        <f t="shared" si="8"/>
        <v>16.297644999999996</v>
      </c>
      <c r="W46" s="82"/>
    </row>
    <row r="47" spans="1:23" ht="15" customHeight="1">
      <c r="A47" s="195">
        <v>46</v>
      </c>
      <c r="B47" s="96" t="s">
        <v>319</v>
      </c>
      <c r="C47" s="196" t="s">
        <v>326</v>
      </c>
      <c r="D47" s="197">
        <v>0</v>
      </c>
      <c r="E47" s="32">
        <v>2010</v>
      </c>
      <c r="F47" s="32">
        <v>10</v>
      </c>
      <c r="G47" s="32">
        <f t="shared" si="1"/>
        <v>2019</v>
      </c>
      <c r="H47" s="179">
        <v>1</v>
      </c>
      <c r="I47" s="104">
        <v>831.81</v>
      </c>
      <c r="J47" s="108">
        <f t="shared" si="2"/>
        <v>831.81</v>
      </c>
      <c r="K47" s="180" t="s">
        <v>43</v>
      </c>
      <c r="L47" s="48">
        <f t="shared" si="7"/>
        <v>83.180999999999997</v>
      </c>
      <c r="M47" s="48">
        <f t="shared" si="7"/>
        <v>83.180999999999997</v>
      </c>
      <c r="N47" s="48">
        <f t="shared" si="7"/>
        <v>83.180999999999997</v>
      </c>
      <c r="O47" s="38"/>
      <c r="P47" s="181">
        <f t="shared" si="8"/>
        <v>21.62706</v>
      </c>
      <c r="Q47" s="37">
        <f t="shared" si="8"/>
        <v>16.220295</v>
      </c>
      <c r="R47" s="37">
        <f t="shared" si="8"/>
        <v>10.813529999999998</v>
      </c>
      <c r="W47" s="82"/>
    </row>
    <row r="48" spans="1:23" ht="15" customHeight="1">
      <c r="A48" s="195">
        <v>47</v>
      </c>
      <c r="B48" s="96" t="s">
        <v>320</v>
      </c>
      <c r="C48" s="196" t="s">
        <v>327</v>
      </c>
      <c r="D48" s="197">
        <v>0</v>
      </c>
      <c r="E48" s="32">
        <v>2011</v>
      </c>
      <c r="F48" s="32">
        <v>10</v>
      </c>
      <c r="G48" s="32">
        <f t="shared" si="1"/>
        <v>2020</v>
      </c>
      <c r="H48" s="179">
        <v>0.75</v>
      </c>
      <c r="I48" s="104">
        <v>5365.02</v>
      </c>
      <c r="J48" s="108">
        <f t="shared" si="2"/>
        <v>4023.7650000000003</v>
      </c>
      <c r="K48" s="180" t="s">
        <v>53</v>
      </c>
      <c r="L48" s="48">
        <f t="shared" si="7"/>
        <v>402.37650000000002</v>
      </c>
      <c r="M48" s="48">
        <f t="shared" si="7"/>
        <v>402.37650000000002</v>
      </c>
      <c r="N48" s="48">
        <f t="shared" si="7"/>
        <v>402.37650000000002</v>
      </c>
      <c r="O48" s="38"/>
      <c r="P48" s="181">
        <f t="shared" si="8"/>
        <v>130.77236250000001</v>
      </c>
      <c r="Q48" s="37">
        <f t="shared" si="8"/>
        <v>104.61789000000002</v>
      </c>
      <c r="R48" s="37">
        <f t="shared" si="8"/>
        <v>78.46341750000002</v>
      </c>
      <c r="W48" s="82"/>
    </row>
    <row r="49" spans="1:23" ht="15" customHeight="1">
      <c r="A49" s="195">
        <v>48</v>
      </c>
      <c r="B49" s="96" t="s">
        <v>321</v>
      </c>
      <c r="C49" s="196" t="s">
        <v>328</v>
      </c>
      <c r="D49" s="197">
        <v>0</v>
      </c>
      <c r="E49" s="32">
        <v>2012</v>
      </c>
      <c r="F49" s="32">
        <v>10</v>
      </c>
      <c r="G49" s="32">
        <f t="shared" si="1"/>
        <v>2021</v>
      </c>
      <c r="H49" s="179">
        <v>1</v>
      </c>
      <c r="I49" s="104">
        <v>2487.06</v>
      </c>
      <c r="J49" s="108">
        <f t="shared" si="2"/>
        <v>2487.06</v>
      </c>
      <c r="K49" s="180" t="s">
        <v>53</v>
      </c>
      <c r="L49" s="48">
        <f t="shared" si="7"/>
        <v>248.70599999999999</v>
      </c>
      <c r="M49" s="48">
        <f t="shared" si="7"/>
        <v>248.70599999999999</v>
      </c>
      <c r="N49" s="48">
        <f t="shared" si="7"/>
        <v>248.70599999999999</v>
      </c>
      <c r="O49" s="38"/>
      <c r="P49" s="181">
        <f t="shared" si="8"/>
        <v>96.995339999999999</v>
      </c>
      <c r="Q49" s="37">
        <f t="shared" si="8"/>
        <v>80.829449999999994</v>
      </c>
      <c r="R49" s="37">
        <f t="shared" si="8"/>
        <v>64.663560000000004</v>
      </c>
      <c r="W49" s="82"/>
    </row>
    <row r="50" spans="1:23" ht="15" customHeight="1">
      <c r="A50" s="195">
        <v>49</v>
      </c>
      <c r="B50" s="96" t="s">
        <v>322</v>
      </c>
      <c r="C50" s="196" t="s">
        <v>329</v>
      </c>
      <c r="D50" s="197">
        <v>0</v>
      </c>
      <c r="E50" s="32">
        <v>2013</v>
      </c>
      <c r="F50" s="32">
        <v>10</v>
      </c>
      <c r="G50" s="32">
        <f t="shared" si="1"/>
        <v>2022</v>
      </c>
      <c r="H50" s="179">
        <v>1</v>
      </c>
      <c r="I50" s="104">
        <v>658.85</v>
      </c>
      <c r="J50" s="108">
        <f t="shared" si="2"/>
        <v>658.85</v>
      </c>
      <c r="K50" s="180" t="s">
        <v>53</v>
      </c>
      <c r="L50" s="48">
        <f t="shared" si="7"/>
        <v>65.885000000000005</v>
      </c>
      <c r="M50" s="48">
        <f t="shared" si="7"/>
        <v>65.885000000000005</v>
      </c>
      <c r="N50" s="48">
        <f t="shared" si="7"/>
        <v>65.885000000000005</v>
      </c>
      <c r="O50" s="38"/>
      <c r="P50" s="181">
        <f t="shared" si="8"/>
        <v>29.977675000000001</v>
      </c>
      <c r="Q50" s="37">
        <f t="shared" si="8"/>
        <v>25.695150000000002</v>
      </c>
      <c r="R50" s="37">
        <f t="shared" si="8"/>
        <v>21.412625000000002</v>
      </c>
      <c r="W50" s="82"/>
    </row>
    <row r="51" spans="1:23" ht="15" customHeight="1">
      <c r="A51" s="195">
        <v>50</v>
      </c>
      <c r="B51" s="96" t="s">
        <v>323</v>
      </c>
      <c r="C51" s="196" t="s">
        <v>330</v>
      </c>
      <c r="D51" s="197">
        <v>0</v>
      </c>
      <c r="E51" s="32">
        <v>2013</v>
      </c>
      <c r="F51" s="32">
        <v>10</v>
      </c>
      <c r="G51" s="32">
        <f t="shared" si="1"/>
        <v>2022</v>
      </c>
      <c r="H51" s="179">
        <v>1</v>
      </c>
      <c r="I51" s="104">
        <v>766.38</v>
      </c>
      <c r="J51" s="108">
        <f t="shared" si="2"/>
        <v>766.38</v>
      </c>
      <c r="K51" s="180" t="s">
        <v>53</v>
      </c>
      <c r="L51" s="48">
        <f t="shared" si="7"/>
        <v>76.638000000000005</v>
      </c>
      <c r="M51" s="48">
        <f t="shared" si="7"/>
        <v>76.638000000000005</v>
      </c>
      <c r="N51" s="48">
        <f t="shared" si="7"/>
        <v>76.638000000000005</v>
      </c>
      <c r="O51" s="38"/>
      <c r="P51" s="181">
        <f t="shared" si="8"/>
        <v>34.870290000000004</v>
      </c>
      <c r="Q51" s="37">
        <f t="shared" si="8"/>
        <v>29.888819999999999</v>
      </c>
      <c r="R51" s="37">
        <f t="shared" si="8"/>
        <v>24.907350000000001</v>
      </c>
      <c r="W51" s="82"/>
    </row>
    <row r="52" spans="1:23" ht="15" customHeight="1">
      <c r="A52" s="195">
        <v>51</v>
      </c>
      <c r="B52" s="96" t="s">
        <v>324</v>
      </c>
      <c r="C52" s="196" t="s">
        <v>331</v>
      </c>
      <c r="D52" s="197">
        <v>0</v>
      </c>
      <c r="E52" s="32">
        <v>2014</v>
      </c>
      <c r="F52" s="32">
        <v>10</v>
      </c>
      <c r="G52" s="32">
        <f t="shared" si="1"/>
        <v>2023</v>
      </c>
      <c r="H52" s="179">
        <v>1</v>
      </c>
      <c r="I52" s="104">
        <v>1684.9</v>
      </c>
      <c r="J52" s="108">
        <f t="shared" si="2"/>
        <v>1684.9</v>
      </c>
      <c r="K52" s="180" t="s">
        <v>53</v>
      </c>
      <c r="L52" s="48">
        <f t="shared" si="7"/>
        <v>168.49</v>
      </c>
      <c r="M52" s="48">
        <f t="shared" si="7"/>
        <v>168.49</v>
      </c>
      <c r="N52" s="48">
        <f t="shared" si="7"/>
        <v>168.49</v>
      </c>
      <c r="O52" s="38"/>
      <c r="P52" s="181">
        <f t="shared" si="8"/>
        <v>87.614800000000002</v>
      </c>
      <c r="Q52" s="37">
        <f t="shared" si="8"/>
        <v>76.662950000000009</v>
      </c>
      <c r="R52" s="37">
        <f t="shared" si="8"/>
        <v>65.711100000000002</v>
      </c>
      <c r="W52" s="82"/>
    </row>
    <row r="53" spans="1:23" ht="15" customHeight="1">
      <c r="A53" s="195">
        <v>52</v>
      </c>
      <c r="B53" s="96" t="s">
        <v>332</v>
      </c>
      <c r="C53" s="196" t="s">
        <v>337</v>
      </c>
      <c r="D53" s="197">
        <v>0</v>
      </c>
      <c r="E53" s="32">
        <v>2009</v>
      </c>
      <c r="F53" s="32">
        <v>15</v>
      </c>
      <c r="G53" s="32">
        <f t="shared" si="1"/>
        <v>2023</v>
      </c>
      <c r="H53" s="179">
        <v>1</v>
      </c>
      <c r="I53" s="104">
        <v>571.44000000000005</v>
      </c>
      <c r="J53" s="108">
        <f t="shared" si="2"/>
        <v>571.44000000000005</v>
      </c>
      <c r="K53" s="180" t="s">
        <v>53</v>
      </c>
      <c r="L53" s="48">
        <f t="shared" si="7"/>
        <v>38.096000000000004</v>
      </c>
      <c r="M53" s="48">
        <f t="shared" si="7"/>
        <v>38.096000000000004</v>
      </c>
      <c r="N53" s="48">
        <f t="shared" si="7"/>
        <v>38.096000000000004</v>
      </c>
      <c r="O53" s="38"/>
      <c r="P53" s="181">
        <f t="shared" si="8"/>
        <v>19.809920000000002</v>
      </c>
      <c r="Q53" s="37">
        <f t="shared" si="8"/>
        <v>17.333680000000001</v>
      </c>
      <c r="R53" s="37">
        <f t="shared" si="8"/>
        <v>14.857440000000002</v>
      </c>
      <c r="W53" s="82"/>
    </row>
    <row r="54" spans="1:23" ht="15" customHeight="1">
      <c r="A54" s="195">
        <v>53</v>
      </c>
      <c r="B54" s="96" t="s">
        <v>333</v>
      </c>
      <c r="C54" s="196" t="s">
        <v>338</v>
      </c>
      <c r="D54" s="197">
        <v>0</v>
      </c>
      <c r="E54" s="32">
        <v>2012</v>
      </c>
      <c r="F54" s="32">
        <v>15</v>
      </c>
      <c r="G54" s="32">
        <f t="shared" si="1"/>
        <v>2026</v>
      </c>
      <c r="H54" s="179">
        <v>1</v>
      </c>
      <c r="I54" s="104">
        <v>1369.99</v>
      </c>
      <c r="J54" s="108">
        <f t="shared" si="2"/>
        <v>1369.99</v>
      </c>
      <c r="K54" s="180" t="s">
        <v>53</v>
      </c>
      <c r="L54" s="48">
        <f t="shared" si="7"/>
        <v>91.332666666666668</v>
      </c>
      <c r="M54" s="48">
        <f t="shared" si="7"/>
        <v>91.332666666666668</v>
      </c>
      <c r="N54" s="48">
        <f t="shared" si="7"/>
        <v>91.332666666666668</v>
      </c>
      <c r="O54" s="38"/>
      <c r="P54" s="181">
        <f t="shared" si="8"/>
        <v>65.302856666666671</v>
      </c>
      <c r="Q54" s="37">
        <f t="shared" si="8"/>
        <v>59.366233333333348</v>
      </c>
      <c r="R54" s="37">
        <f t="shared" si="8"/>
        <v>53.429610000000004</v>
      </c>
      <c r="W54" s="82"/>
    </row>
    <row r="55" spans="1:23" ht="15" customHeight="1">
      <c r="A55" s="195">
        <v>54</v>
      </c>
      <c r="B55" s="96" t="s">
        <v>334</v>
      </c>
      <c r="C55" s="196" t="s">
        <v>464</v>
      </c>
      <c r="D55" s="197">
        <v>0</v>
      </c>
      <c r="E55" s="32">
        <v>2012</v>
      </c>
      <c r="F55" s="32">
        <v>15</v>
      </c>
      <c r="G55" s="32">
        <f t="shared" si="1"/>
        <v>2026</v>
      </c>
      <c r="H55" s="179">
        <v>1</v>
      </c>
      <c r="I55" s="104">
        <v>439.82</v>
      </c>
      <c r="J55" s="108">
        <f t="shared" si="2"/>
        <v>439.82</v>
      </c>
      <c r="K55" s="180" t="s">
        <v>53</v>
      </c>
      <c r="L55" s="48">
        <f t="shared" si="7"/>
        <v>29.321333333333332</v>
      </c>
      <c r="M55" s="48">
        <f t="shared" si="7"/>
        <v>29.321333333333332</v>
      </c>
      <c r="N55" s="48">
        <f t="shared" si="7"/>
        <v>29.321333333333332</v>
      </c>
      <c r="O55" s="38"/>
      <c r="P55" s="181">
        <f t="shared" si="8"/>
        <v>20.964753333333334</v>
      </c>
      <c r="Q55" s="37">
        <f t="shared" si="8"/>
        <v>19.05886666666667</v>
      </c>
      <c r="R55" s="37">
        <f t="shared" si="8"/>
        <v>17.152979999999999</v>
      </c>
      <c r="W55" s="82"/>
    </row>
    <row r="56" spans="1:23" ht="15" customHeight="1">
      <c r="A56" s="195">
        <v>55</v>
      </c>
      <c r="B56" s="96" t="s">
        <v>335</v>
      </c>
      <c r="C56" s="196" t="s">
        <v>465</v>
      </c>
      <c r="D56" s="197">
        <v>0</v>
      </c>
      <c r="E56" s="32">
        <v>2012</v>
      </c>
      <c r="F56" s="32">
        <v>15</v>
      </c>
      <c r="G56" s="32">
        <f t="shared" si="1"/>
        <v>2026</v>
      </c>
      <c r="H56" s="179">
        <v>1</v>
      </c>
      <c r="I56" s="104">
        <v>439.83</v>
      </c>
      <c r="J56" s="108">
        <f t="shared" si="2"/>
        <v>439.83</v>
      </c>
      <c r="K56" s="180" t="s">
        <v>53</v>
      </c>
      <c r="L56" s="48">
        <f t="shared" si="7"/>
        <v>29.321999999999999</v>
      </c>
      <c r="M56" s="48">
        <f t="shared" si="7"/>
        <v>29.321999999999999</v>
      </c>
      <c r="N56" s="48">
        <f t="shared" si="7"/>
        <v>29.321999999999999</v>
      </c>
      <c r="O56" s="38"/>
      <c r="P56" s="181">
        <f t="shared" si="8"/>
        <v>20.965230000000002</v>
      </c>
      <c r="Q56" s="37">
        <f t="shared" si="8"/>
        <v>19.059300000000004</v>
      </c>
      <c r="R56" s="37">
        <f t="shared" si="8"/>
        <v>17.153369999999999</v>
      </c>
      <c r="W56" s="82"/>
    </row>
    <row r="57" spans="1:23" ht="15" customHeight="1">
      <c r="A57" s="195">
        <v>56</v>
      </c>
      <c r="B57" s="96" t="s">
        <v>336</v>
      </c>
      <c r="C57" s="196" t="s">
        <v>339</v>
      </c>
      <c r="D57" s="197">
        <v>0</v>
      </c>
      <c r="E57" s="32">
        <v>2013</v>
      </c>
      <c r="F57" s="32">
        <v>15</v>
      </c>
      <c r="G57" s="32">
        <f t="shared" si="1"/>
        <v>2027</v>
      </c>
      <c r="H57" s="179">
        <v>1</v>
      </c>
      <c r="I57" s="104">
        <v>2396.54</v>
      </c>
      <c r="J57" s="108">
        <f t="shared" si="2"/>
        <v>2396.54</v>
      </c>
      <c r="K57" s="180" t="s">
        <v>43</v>
      </c>
      <c r="L57" s="48">
        <f t="shared" si="7"/>
        <v>159.76933333333332</v>
      </c>
      <c r="M57" s="48">
        <f t="shared" si="7"/>
        <v>159.76933333333332</v>
      </c>
      <c r="N57" s="48">
        <f t="shared" si="7"/>
        <v>159.76933333333332</v>
      </c>
      <c r="O57" s="38"/>
      <c r="P57" s="181">
        <f t="shared" si="8"/>
        <v>124.62008</v>
      </c>
      <c r="Q57" s="37">
        <f t="shared" si="8"/>
        <v>114.23507333333335</v>
      </c>
      <c r="R57" s="37">
        <f t="shared" si="8"/>
        <v>103.85006666666668</v>
      </c>
      <c r="W57" s="82"/>
    </row>
    <row r="58" spans="1:23" ht="15" customHeight="1">
      <c r="A58" s="195">
        <v>57</v>
      </c>
      <c r="B58" s="96" t="s">
        <v>340</v>
      </c>
      <c r="C58" s="196" t="s">
        <v>345</v>
      </c>
      <c r="D58" s="197">
        <v>0</v>
      </c>
      <c r="E58" s="32">
        <v>2010</v>
      </c>
      <c r="F58" s="32">
        <v>8</v>
      </c>
      <c r="G58" s="32">
        <f t="shared" si="1"/>
        <v>2017</v>
      </c>
      <c r="H58" s="179">
        <v>1</v>
      </c>
      <c r="I58" s="104">
        <v>629.88</v>
      </c>
      <c r="J58" s="108">
        <f t="shared" si="2"/>
        <v>629.88</v>
      </c>
      <c r="K58" s="180" t="s">
        <v>43</v>
      </c>
      <c r="L58" s="48">
        <f t="shared" si="7"/>
        <v>78.734999999999999</v>
      </c>
      <c r="M58" s="48">
        <f t="shared" si="7"/>
        <v>78.734999999999999</v>
      </c>
      <c r="N58" s="48">
        <f t="shared" si="7"/>
        <v>0</v>
      </c>
      <c r="O58" s="38"/>
      <c r="P58" s="181">
        <f t="shared" si="8"/>
        <v>10.23555</v>
      </c>
      <c r="Q58" s="37">
        <f t="shared" si="8"/>
        <v>5.117775</v>
      </c>
      <c r="R58" s="37">
        <f t="shared" si="8"/>
        <v>0</v>
      </c>
      <c r="W58" s="82"/>
    </row>
    <row r="59" spans="1:23" ht="15" customHeight="1">
      <c r="A59" s="195">
        <v>58</v>
      </c>
      <c r="B59" s="96" t="s">
        <v>341</v>
      </c>
      <c r="C59" s="196" t="s">
        <v>346</v>
      </c>
      <c r="D59" s="197">
        <v>0</v>
      </c>
      <c r="E59" s="32">
        <v>2010</v>
      </c>
      <c r="F59" s="32">
        <v>8</v>
      </c>
      <c r="G59" s="32">
        <f t="shared" si="1"/>
        <v>2017</v>
      </c>
      <c r="H59" s="179">
        <v>1</v>
      </c>
      <c r="I59" s="104">
        <v>629.89</v>
      </c>
      <c r="J59" s="108">
        <f t="shared" si="2"/>
        <v>629.89</v>
      </c>
      <c r="K59" s="180" t="s">
        <v>43</v>
      </c>
      <c r="L59" s="48">
        <f t="shared" si="7"/>
        <v>78.736249999999998</v>
      </c>
      <c r="M59" s="48">
        <f t="shared" si="7"/>
        <v>78.736249999999998</v>
      </c>
      <c r="N59" s="48">
        <f t="shared" si="7"/>
        <v>0</v>
      </c>
      <c r="O59" s="38"/>
      <c r="P59" s="181">
        <f t="shared" si="8"/>
        <v>10.2357125</v>
      </c>
      <c r="Q59" s="37">
        <f t="shared" si="8"/>
        <v>5.11785625</v>
      </c>
      <c r="R59" s="37">
        <f t="shared" si="8"/>
        <v>0</v>
      </c>
      <c r="W59" s="82"/>
    </row>
    <row r="60" spans="1:23" ht="15" customHeight="1">
      <c r="A60" s="195">
        <v>59</v>
      </c>
      <c r="B60" s="96" t="s">
        <v>342</v>
      </c>
      <c r="C60" s="196" t="s">
        <v>347</v>
      </c>
      <c r="D60" s="197">
        <v>0</v>
      </c>
      <c r="E60" s="32">
        <v>2011</v>
      </c>
      <c r="F60" s="32">
        <v>8</v>
      </c>
      <c r="G60" s="32">
        <f t="shared" si="1"/>
        <v>2018</v>
      </c>
      <c r="H60" s="179">
        <v>1</v>
      </c>
      <c r="I60" s="104">
        <v>874.59</v>
      </c>
      <c r="J60" s="108">
        <f t="shared" si="2"/>
        <v>874.59</v>
      </c>
      <c r="K60" s="180" t="s">
        <v>43</v>
      </c>
      <c r="L60" s="48">
        <f t="shared" si="7"/>
        <v>109.32375</v>
      </c>
      <c r="M60" s="48">
        <f t="shared" si="7"/>
        <v>109.32375</v>
      </c>
      <c r="N60" s="48">
        <f t="shared" si="7"/>
        <v>109.32375</v>
      </c>
      <c r="O60" s="38"/>
      <c r="P60" s="181">
        <f t="shared" si="8"/>
        <v>21.31813125</v>
      </c>
      <c r="Q60" s="37">
        <f t="shared" si="8"/>
        <v>14.212087500000001</v>
      </c>
      <c r="R60" s="37">
        <f t="shared" si="8"/>
        <v>7.1060437500000004</v>
      </c>
      <c r="W60" s="82"/>
    </row>
    <row r="61" spans="1:23" ht="15" customHeight="1">
      <c r="A61" s="195">
        <v>60</v>
      </c>
      <c r="B61" s="96" t="s">
        <v>343</v>
      </c>
      <c r="C61" s="196" t="s">
        <v>348</v>
      </c>
      <c r="D61" s="197">
        <v>0</v>
      </c>
      <c r="E61" s="32">
        <v>2012</v>
      </c>
      <c r="F61" s="32">
        <v>8</v>
      </c>
      <c r="G61" s="32">
        <f t="shared" si="1"/>
        <v>2019</v>
      </c>
      <c r="H61" s="179">
        <v>1</v>
      </c>
      <c r="I61" s="104">
        <v>984.69</v>
      </c>
      <c r="J61" s="108">
        <f t="shared" si="2"/>
        <v>984.69</v>
      </c>
      <c r="K61" s="180" t="s">
        <v>43</v>
      </c>
      <c r="L61" s="48">
        <f t="shared" si="7"/>
        <v>123.08625000000001</v>
      </c>
      <c r="M61" s="48">
        <f t="shared" si="7"/>
        <v>123.08625000000001</v>
      </c>
      <c r="N61" s="48">
        <f t="shared" si="7"/>
        <v>123.08625000000001</v>
      </c>
      <c r="O61" s="38"/>
      <c r="P61" s="181">
        <f t="shared" si="8"/>
        <v>32.002425000000002</v>
      </c>
      <c r="Q61" s="37">
        <f t="shared" si="8"/>
        <v>24.001818750000002</v>
      </c>
      <c r="R61" s="37">
        <f t="shared" si="8"/>
        <v>16.001212500000001</v>
      </c>
      <c r="W61" s="82"/>
    </row>
    <row r="62" spans="1:23" ht="15" customHeight="1">
      <c r="A62" s="195">
        <v>61</v>
      </c>
      <c r="B62" s="96" t="s">
        <v>344</v>
      </c>
      <c r="C62" s="196" t="s">
        <v>349</v>
      </c>
      <c r="D62" s="197">
        <v>0</v>
      </c>
      <c r="E62" s="32">
        <v>2012</v>
      </c>
      <c r="F62" s="32">
        <v>8</v>
      </c>
      <c r="G62" s="32">
        <f t="shared" si="1"/>
        <v>2019</v>
      </c>
      <c r="H62" s="179">
        <v>1</v>
      </c>
      <c r="I62" s="104">
        <v>496.51</v>
      </c>
      <c r="J62" s="108">
        <f t="shared" si="2"/>
        <v>496.51</v>
      </c>
      <c r="K62" s="180" t="s">
        <v>43</v>
      </c>
      <c r="L62" s="48">
        <f t="shared" si="7"/>
        <v>62.063749999999999</v>
      </c>
      <c r="M62" s="48">
        <f t="shared" si="7"/>
        <v>62.063749999999999</v>
      </c>
      <c r="N62" s="48">
        <f t="shared" si="7"/>
        <v>62.063749999999999</v>
      </c>
      <c r="O62" s="38"/>
      <c r="P62" s="181">
        <f t="shared" si="8"/>
        <v>16.136575000000001</v>
      </c>
      <c r="Q62" s="37">
        <f t="shared" si="8"/>
        <v>12.10243125</v>
      </c>
      <c r="R62" s="37">
        <f t="shared" si="8"/>
        <v>8.0682875000000003</v>
      </c>
      <c r="W62" s="82"/>
    </row>
    <row r="63" spans="1:23" ht="15" customHeight="1">
      <c r="A63" s="195">
        <v>62</v>
      </c>
      <c r="B63" s="96" t="s">
        <v>350</v>
      </c>
      <c r="C63" s="196" t="s">
        <v>466</v>
      </c>
      <c r="D63" s="197">
        <v>0</v>
      </c>
      <c r="E63" s="32">
        <v>2014</v>
      </c>
      <c r="F63" s="32">
        <v>5</v>
      </c>
      <c r="G63" s="32">
        <f t="shared" si="1"/>
        <v>2018</v>
      </c>
      <c r="H63" s="179">
        <v>1</v>
      </c>
      <c r="I63" s="104">
        <v>1860.09</v>
      </c>
      <c r="J63" s="108">
        <f t="shared" si="2"/>
        <v>1860.09</v>
      </c>
      <c r="K63" s="180" t="s">
        <v>53</v>
      </c>
      <c r="L63" s="48">
        <f t="shared" si="7"/>
        <v>372.01799999999997</v>
      </c>
      <c r="M63" s="48">
        <f t="shared" si="7"/>
        <v>372.01799999999997</v>
      </c>
      <c r="N63" s="48">
        <f t="shared" si="7"/>
        <v>372.01799999999997</v>
      </c>
      <c r="O63" s="38"/>
      <c r="P63" s="181">
        <f t="shared" si="8"/>
        <v>72.543509999999998</v>
      </c>
      <c r="Q63" s="37">
        <f t="shared" si="8"/>
        <v>48.362340000000003</v>
      </c>
      <c r="R63" s="37">
        <f t="shared" si="8"/>
        <v>24.181169999999995</v>
      </c>
      <c r="W63" s="82"/>
    </row>
    <row r="64" spans="1:23" ht="15" customHeight="1">
      <c r="A64" s="195">
        <v>63</v>
      </c>
      <c r="B64" s="96">
        <v>110011</v>
      </c>
      <c r="C64" s="196" t="s">
        <v>351</v>
      </c>
      <c r="D64" s="197">
        <v>0</v>
      </c>
      <c r="E64" s="32" t="s">
        <v>357</v>
      </c>
      <c r="F64" s="32">
        <v>20</v>
      </c>
      <c r="G64" s="32">
        <f t="shared" si="1"/>
        <v>2030</v>
      </c>
      <c r="H64" s="179">
        <v>1</v>
      </c>
      <c r="I64" s="104">
        <v>6022.86</v>
      </c>
      <c r="J64" s="108">
        <f t="shared" si="2"/>
        <v>6022.86</v>
      </c>
      <c r="K64" s="180" t="s">
        <v>53</v>
      </c>
      <c r="L64" s="48">
        <f t="shared" si="7"/>
        <v>0</v>
      </c>
      <c r="M64" s="48">
        <f t="shared" si="7"/>
        <v>0</v>
      </c>
      <c r="N64" s="48">
        <f t="shared" si="7"/>
        <v>0</v>
      </c>
      <c r="O64" s="38"/>
      <c r="P64" s="181">
        <f t="shared" si="8"/>
        <v>0</v>
      </c>
      <c r="Q64" s="37">
        <f t="shared" si="8"/>
        <v>0</v>
      </c>
      <c r="R64" s="37">
        <f t="shared" si="8"/>
        <v>0</v>
      </c>
      <c r="W64" s="82"/>
    </row>
    <row r="65" spans="1:23" ht="15" customHeight="1">
      <c r="A65" s="195">
        <v>64</v>
      </c>
      <c r="B65" s="96">
        <v>110021</v>
      </c>
      <c r="C65" s="196" t="s">
        <v>352</v>
      </c>
      <c r="D65" s="197">
        <v>0</v>
      </c>
      <c r="E65" s="32" t="s">
        <v>358</v>
      </c>
      <c r="F65" s="32">
        <v>20</v>
      </c>
      <c r="G65" s="32">
        <f t="shared" si="1"/>
        <v>2028</v>
      </c>
      <c r="H65" s="179">
        <v>1</v>
      </c>
      <c r="I65" s="104">
        <v>12648.6</v>
      </c>
      <c r="J65" s="108">
        <f t="shared" si="2"/>
        <v>12648.6</v>
      </c>
      <c r="K65" s="180" t="s">
        <v>53</v>
      </c>
      <c r="L65" s="48">
        <f t="shared" si="7"/>
        <v>0</v>
      </c>
      <c r="M65" s="48">
        <f t="shared" si="7"/>
        <v>0</v>
      </c>
      <c r="N65" s="48">
        <f t="shared" si="7"/>
        <v>0</v>
      </c>
      <c r="O65" s="38"/>
      <c r="P65" s="181">
        <f t="shared" si="8"/>
        <v>0</v>
      </c>
      <c r="Q65" s="37">
        <f t="shared" si="8"/>
        <v>0</v>
      </c>
      <c r="R65" s="37">
        <f t="shared" si="8"/>
        <v>0</v>
      </c>
      <c r="W65" s="82"/>
    </row>
    <row r="66" spans="1:23" ht="15" customHeight="1">
      <c r="A66" s="195">
        <v>65</v>
      </c>
      <c r="B66" s="96">
        <v>110031</v>
      </c>
      <c r="C66" s="196" t="s">
        <v>353</v>
      </c>
      <c r="D66" s="197">
        <v>0</v>
      </c>
      <c r="E66" s="32" t="s">
        <v>358</v>
      </c>
      <c r="F66" s="32">
        <v>20</v>
      </c>
      <c r="G66" s="32">
        <f t="shared" si="1"/>
        <v>2028</v>
      </c>
      <c r="H66" s="179">
        <v>1</v>
      </c>
      <c r="I66" s="104">
        <v>47714.91</v>
      </c>
      <c r="J66" s="108">
        <f t="shared" si="2"/>
        <v>47714.91</v>
      </c>
      <c r="K66" s="180" t="s">
        <v>53</v>
      </c>
      <c r="L66" s="48">
        <f t="shared" si="7"/>
        <v>0</v>
      </c>
      <c r="M66" s="48">
        <f t="shared" si="7"/>
        <v>0</v>
      </c>
      <c r="N66" s="48">
        <f t="shared" si="7"/>
        <v>0</v>
      </c>
      <c r="O66" s="38"/>
      <c r="P66" s="181">
        <f t="shared" si="8"/>
        <v>0</v>
      </c>
      <c r="Q66" s="37">
        <f t="shared" si="8"/>
        <v>0</v>
      </c>
      <c r="R66" s="37">
        <f t="shared" si="8"/>
        <v>0</v>
      </c>
      <c r="W66" s="82"/>
    </row>
    <row r="67" spans="1:23" ht="15" customHeight="1">
      <c r="A67" s="195">
        <v>66</v>
      </c>
      <c r="B67" s="96">
        <v>110072</v>
      </c>
      <c r="C67" s="196" t="s">
        <v>354</v>
      </c>
      <c r="D67" s="197">
        <v>0</v>
      </c>
      <c r="E67" s="32" t="s">
        <v>357</v>
      </c>
      <c r="F67" s="32">
        <v>18</v>
      </c>
      <c r="G67" s="32">
        <f t="shared" si="1"/>
        <v>2028</v>
      </c>
      <c r="H67" s="179">
        <v>1</v>
      </c>
      <c r="I67" s="104">
        <v>74317.2</v>
      </c>
      <c r="J67" s="108">
        <f t="shared" si="2"/>
        <v>74317.2</v>
      </c>
      <c r="K67" s="180" t="s">
        <v>53</v>
      </c>
      <c r="L67" s="48">
        <f t="shared" si="7"/>
        <v>0</v>
      </c>
      <c r="M67" s="48">
        <f t="shared" si="7"/>
        <v>0</v>
      </c>
      <c r="N67" s="48">
        <f t="shared" si="7"/>
        <v>0</v>
      </c>
      <c r="O67" s="38"/>
      <c r="P67" s="181">
        <f t="shared" si="8"/>
        <v>0</v>
      </c>
      <c r="Q67" s="37">
        <f t="shared" si="8"/>
        <v>0</v>
      </c>
      <c r="R67" s="37">
        <f t="shared" si="8"/>
        <v>0</v>
      </c>
      <c r="W67" s="82"/>
    </row>
    <row r="68" spans="1:23" ht="15" customHeight="1">
      <c r="A68" s="195">
        <v>67</v>
      </c>
      <c r="B68" s="96">
        <v>110073</v>
      </c>
      <c r="C68" s="196" t="s">
        <v>355</v>
      </c>
      <c r="D68" s="197">
        <v>0</v>
      </c>
      <c r="E68" s="32" t="s">
        <v>357</v>
      </c>
      <c r="F68" s="32">
        <v>10</v>
      </c>
      <c r="G68" s="32">
        <f t="shared" si="1"/>
        <v>2020</v>
      </c>
      <c r="H68" s="179">
        <v>1</v>
      </c>
      <c r="I68" s="104">
        <v>23199.37</v>
      </c>
      <c r="J68" s="108">
        <f t="shared" si="2"/>
        <v>23199.37</v>
      </c>
      <c r="K68" s="180" t="s">
        <v>53</v>
      </c>
      <c r="L68" s="48">
        <f t="shared" si="7"/>
        <v>0</v>
      </c>
      <c r="M68" s="48">
        <f t="shared" si="7"/>
        <v>0</v>
      </c>
      <c r="N68" s="48">
        <f t="shared" si="7"/>
        <v>0</v>
      </c>
      <c r="O68" s="38"/>
      <c r="P68" s="181">
        <f t="shared" si="8"/>
        <v>0</v>
      </c>
      <c r="Q68" s="37">
        <f t="shared" si="8"/>
        <v>0</v>
      </c>
      <c r="R68" s="37">
        <f t="shared" si="8"/>
        <v>0</v>
      </c>
      <c r="W68" s="82"/>
    </row>
    <row r="69" spans="1:23" ht="15" customHeight="1">
      <c r="A69" s="195">
        <v>68</v>
      </c>
      <c r="B69" s="96">
        <v>110082</v>
      </c>
      <c r="C69" s="196" t="s">
        <v>356</v>
      </c>
      <c r="D69" s="197">
        <v>0</v>
      </c>
      <c r="E69" s="32" t="s">
        <v>357</v>
      </c>
      <c r="F69" s="32">
        <v>10</v>
      </c>
      <c r="G69" s="32">
        <f t="shared" ref="G69:G103" si="9">IF(ISBLANK(F69),"",+E69+F69-1)</f>
        <v>2020</v>
      </c>
      <c r="H69" s="179">
        <v>1</v>
      </c>
      <c r="I69" s="104">
        <v>3213.82</v>
      </c>
      <c r="J69" s="108">
        <f t="shared" ref="J69:J103" si="10">+I69*H69</f>
        <v>3213.82</v>
      </c>
      <c r="K69" s="180" t="s">
        <v>53</v>
      </c>
      <c r="L69" s="48">
        <f t="shared" ref="L69:N103" si="11">+IF(L$1&lt;$E69,0,IF(L$1&gt;$G69,0,IF($F69="",0,IF(AND($J69&lt;0,$T$3=1),0,$J69/$F69))))*(1-$D69)</f>
        <v>0</v>
      </c>
      <c r="M69" s="48">
        <f t="shared" si="11"/>
        <v>0</v>
      </c>
      <c r="N69" s="48">
        <f t="shared" si="11"/>
        <v>0</v>
      </c>
      <c r="O69" s="38"/>
      <c r="P69" s="181">
        <f t="shared" ref="P69:R103" si="12">+IF(P$1&lt;$E69,0,IF(P$1&gt;$G69,0,$J69*IF($F69="",1,CHOOSE($T$2,1-((P$1-$E69)/$F69),0.5))))*$T$1*(1-$D69)</f>
        <v>0</v>
      </c>
      <c r="Q69" s="37">
        <f t="shared" si="12"/>
        <v>0</v>
      </c>
      <c r="R69" s="37">
        <f t="shared" si="12"/>
        <v>0</v>
      </c>
      <c r="W69" s="82"/>
    </row>
    <row r="70" spans="1:23" ht="15" customHeight="1">
      <c r="A70" s="195">
        <v>69</v>
      </c>
      <c r="B70" s="96">
        <v>110095</v>
      </c>
      <c r="C70" s="196" t="s">
        <v>394</v>
      </c>
      <c r="D70" s="197">
        <v>0</v>
      </c>
      <c r="E70" s="32" t="s">
        <v>357</v>
      </c>
      <c r="F70" s="32">
        <v>15</v>
      </c>
      <c r="G70" s="32">
        <f t="shared" si="9"/>
        <v>2025</v>
      </c>
      <c r="H70" s="179">
        <f>100%-15%</f>
        <v>0.85</v>
      </c>
      <c r="I70" s="104">
        <v>649531.32999999996</v>
      </c>
      <c r="J70" s="108">
        <f t="shared" si="10"/>
        <v>552101.63049999997</v>
      </c>
      <c r="K70" s="180" t="s">
        <v>53</v>
      </c>
      <c r="L70" s="48">
        <f t="shared" si="11"/>
        <v>0</v>
      </c>
      <c r="M70" s="48">
        <f t="shared" si="11"/>
        <v>0</v>
      </c>
      <c r="N70" s="48">
        <f t="shared" si="11"/>
        <v>0</v>
      </c>
      <c r="O70" s="38"/>
      <c r="P70" s="181">
        <f t="shared" si="12"/>
        <v>0</v>
      </c>
      <c r="Q70" s="37">
        <f t="shared" si="12"/>
        <v>0</v>
      </c>
      <c r="R70" s="37">
        <f t="shared" si="12"/>
        <v>0</v>
      </c>
      <c r="W70" s="82"/>
    </row>
    <row r="71" spans="1:23" ht="15" customHeight="1">
      <c r="A71" s="195">
        <v>70</v>
      </c>
      <c r="B71" s="96">
        <v>115005</v>
      </c>
      <c r="C71" s="196" t="s">
        <v>359</v>
      </c>
      <c r="D71" s="197">
        <v>0</v>
      </c>
      <c r="E71" s="32" t="s">
        <v>357</v>
      </c>
      <c r="F71" s="32">
        <v>4</v>
      </c>
      <c r="G71" s="32">
        <f t="shared" si="9"/>
        <v>2014</v>
      </c>
      <c r="H71" s="179">
        <v>1</v>
      </c>
      <c r="I71" s="104">
        <v>2525.8200000000002</v>
      </c>
      <c r="J71" s="108">
        <f t="shared" si="10"/>
        <v>2525.8200000000002</v>
      </c>
      <c r="K71" s="180" t="s">
        <v>37</v>
      </c>
      <c r="L71" s="48">
        <f t="shared" si="11"/>
        <v>0</v>
      </c>
      <c r="M71" s="48">
        <f t="shared" si="11"/>
        <v>0</v>
      </c>
      <c r="N71" s="48">
        <f t="shared" si="11"/>
        <v>0</v>
      </c>
      <c r="O71" s="38"/>
      <c r="P71" s="181">
        <f t="shared" si="12"/>
        <v>0</v>
      </c>
      <c r="Q71" s="37">
        <f t="shared" si="12"/>
        <v>0</v>
      </c>
      <c r="R71" s="37">
        <f t="shared" si="12"/>
        <v>0</v>
      </c>
      <c r="W71" s="82"/>
    </row>
    <row r="72" spans="1:23" ht="15" customHeight="1">
      <c r="A72" s="195">
        <v>71</v>
      </c>
      <c r="B72" s="96">
        <v>115010</v>
      </c>
      <c r="C72" s="196" t="s">
        <v>360</v>
      </c>
      <c r="D72" s="197">
        <v>0</v>
      </c>
      <c r="E72" s="32" t="s">
        <v>366</v>
      </c>
      <c r="F72" s="32">
        <v>4</v>
      </c>
      <c r="G72" s="32">
        <f t="shared" si="9"/>
        <v>2017</v>
      </c>
      <c r="H72" s="179">
        <v>1</v>
      </c>
      <c r="I72" s="104">
        <v>13858.53</v>
      </c>
      <c r="J72" s="108">
        <f t="shared" si="10"/>
        <v>13858.53</v>
      </c>
      <c r="K72" s="180" t="s">
        <v>37</v>
      </c>
      <c r="L72" s="48">
        <f t="shared" si="11"/>
        <v>0</v>
      </c>
      <c r="M72" s="48">
        <f t="shared" si="11"/>
        <v>0</v>
      </c>
      <c r="N72" s="48">
        <f t="shared" si="11"/>
        <v>0</v>
      </c>
      <c r="O72" s="38"/>
      <c r="P72" s="181">
        <f t="shared" si="12"/>
        <v>0</v>
      </c>
      <c r="Q72" s="37">
        <f t="shared" si="12"/>
        <v>0</v>
      </c>
      <c r="R72" s="37">
        <f t="shared" si="12"/>
        <v>0</v>
      </c>
      <c r="W72" s="82"/>
    </row>
    <row r="73" spans="1:23" ht="15" customHeight="1">
      <c r="A73" s="195">
        <v>72</v>
      </c>
      <c r="B73" s="96">
        <v>115015</v>
      </c>
      <c r="C73" s="196" t="s">
        <v>361</v>
      </c>
      <c r="D73" s="197">
        <v>0</v>
      </c>
      <c r="E73" s="32">
        <v>2010</v>
      </c>
      <c r="F73" s="32">
        <v>4</v>
      </c>
      <c r="G73" s="32">
        <f t="shared" si="9"/>
        <v>2013</v>
      </c>
      <c r="H73" s="179">
        <v>1</v>
      </c>
      <c r="I73" s="104">
        <v>971.04</v>
      </c>
      <c r="J73" s="108">
        <f t="shared" si="10"/>
        <v>971.04</v>
      </c>
      <c r="K73" s="180" t="s">
        <v>37</v>
      </c>
      <c r="L73" s="48">
        <f t="shared" si="11"/>
        <v>0</v>
      </c>
      <c r="M73" s="48">
        <f t="shared" si="11"/>
        <v>0</v>
      </c>
      <c r="N73" s="48">
        <f t="shared" si="11"/>
        <v>0</v>
      </c>
      <c r="O73" s="38"/>
      <c r="P73" s="181">
        <f t="shared" si="12"/>
        <v>0</v>
      </c>
      <c r="Q73" s="37">
        <f t="shared" si="12"/>
        <v>0</v>
      </c>
      <c r="R73" s="37">
        <f t="shared" si="12"/>
        <v>0</v>
      </c>
      <c r="W73" s="82"/>
    </row>
    <row r="74" spans="1:23" ht="15" customHeight="1">
      <c r="A74" s="195">
        <v>73</v>
      </c>
      <c r="B74" s="96">
        <v>115025</v>
      </c>
      <c r="C74" s="196" t="s">
        <v>467</v>
      </c>
      <c r="D74" s="197">
        <v>0</v>
      </c>
      <c r="E74" s="32">
        <v>2012</v>
      </c>
      <c r="F74" s="32">
        <v>4</v>
      </c>
      <c r="G74" s="32">
        <f t="shared" si="9"/>
        <v>2015</v>
      </c>
      <c r="H74" s="179">
        <v>1</v>
      </c>
      <c r="I74" s="104">
        <v>1244.75</v>
      </c>
      <c r="J74" s="108">
        <f t="shared" si="10"/>
        <v>1244.75</v>
      </c>
      <c r="K74" s="180" t="s">
        <v>37</v>
      </c>
      <c r="L74" s="48">
        <f t="shared" si="11"/>
        <v>0</v>
      </c>
      <c r="M74" s="48">
        <f t="shared" si="11"/>
        <v>0</v>
      </c>
      <c r="N74" s="48">
        <f t="shared" si="11"/>
        <v>0</v>
      </c>
      <c r="O74" s="38"/>
      <c r="P74" s="181">
        <f t="shared" si="12"/>
        <v>0</v>
      </c>
      <c r="Q74" s="37">
        <f t="shared" si="12"/>
        <v>0</v>
      </c>
      <c r="R74" s="37">
        <f t="shared" si="12"/>
        <v>0</v>
      </c>
      <c r="W74" s="82"/>
    </row>
    <row r="75" spans="1:23" ht="15" customHeight="1">
      <c r="A75" s="195">
        <v>74</v>
      </c>
      <c r="B75" s="96">
        <v>115050</v>
      </c>
      <c r="C75" s="196" t="s">
        <v>362</v>
      </c>
      <c r="D75" s="197">
        <v>0</v>
      </c>
      <c r="E75" s="32">
        <v>2013</v>
      </c>
      <c r="F75" s="32">
        <v>4</v>
      </c>
      <c r="G75" s="32">
        <f t="shared" si="9"/>
        <v>2016</v>
      </c>
      <c r="H75" s="179">
        <v>1</v>
      </c>
      <c r="I75" s="104">
        <v>1175.72</v>
      </c>
      <c r="J75" s="108">
        <f t="shared" si="10"/>
        <v>1175.72</v>
      </c>
      <c r="K75" s="180" t="s">
        <v>37</v>
      </c>
      <c r="L75" s="48">
        <f t="shared" si="11"/>
        <v>293.93</v>
      </c>
      <c r="M75" s="48">
        <f t="shared" si="11"/>
        <v>0</v>
      </c>
      <c r="N75" s="48">
        <f t="shared" si="11"/>
        <v>0</v>
      </c>
      <c r="O75" s="38"/>
      <c r="P75" s="181">
        <f t="shared" si="12"/>
        <v>19.105450000000001</v>
      </c>
      <c r="Q75" s="37">
        <f t="shared" si="12"/>
        <v>0</v>
      </c>
      <c r="R75" s="37">
        <f t="shared" si="12"/>
        <v>0</v>
      </c>
      <c r="W75" s="82"/>
    </row>
    <row r="76" spans="1:23" ht="15" customHeight="1">
      <c r="A76" s="195">
        <v>75</v>
      </c>
      <c r="B76" s="96">
        <v>115070</v>
      </c>
      <c r="C76" s="196" t="s">
        <v>363</v>
      </c>
      <c r="D76" s="197">
        <v>0</v>
      </c>
      <c r="E76" s="32">
        <v>2014</v>
      </c>
      <c r="F76" s="32">
        <v>5</v>
      </c>
      <c r="G76" s="32">
        <f t="shared" si="9"/>
        <v>2018</v>
      </c>
      <c r="H76" s="179">
        <v>1</v>
      </c>
      <c r="I76" s="104">
        <v>45722.21</v>
      </c>
      <c r="J76" s="108">
        <f t="shared" si="10"/>
        <v>45722.21</v>
      </c>
      <c r="K76" s="180" t="s">
        <v>37</v>
      </c>
      <c r="L76" s="48">
        <f t="shared" si="11"/>
        <v>9144.4419999999991</v>
      </c>
      <c r="M76" s="48">
        <f t="shared" si="11"/>
        <v>9144.4419999999991</v>
      </c>
      <c r="N76" s="48">
        <f t="shared" si="11"/>
        <v>9144.4419999999991</v>
      </c>
      <c r="O76" s="38"/>
      <c r="P76" s="181">
        <f t="shared" si="12"/>
        <v>1783.1661899999999</v>
      </c>
      <c r="Q76" s="37">
        <f t="shared" si="12"/>
        <v>1188.7774600000002</v>
      </c>
      <c r="R76" s="37">
        <f t="shared" si="12"/>
        <v>594.3887299999999</v>
      </c>
      <c r="W76" s="82"/>
    </row>
    <row r="77" spans="1:23" ht="15" customHeight="1">
      <c r="A77" s="195">
        <v>76</v>
      </c>
      <c r="B77" s="96">
        <v>401002</v>
      </c>
      <c r="C77" s="196" t="s">
        <v>364</v>
      </c>
      <c r="D77" s="197">
        <v>0</v>
      </c>
      <c r="E77" s="32" t="s">
        <v>366</v>
      </c>
      <c r="F77" s="32">
        <v>5</v>
      </c>
      <c r="G77" s="32">
        <f t="shared" si="9"/>
        <v>2018</v>
      </c>
      <c r="H77" s="179">
        <v>1</v>
      </c>
      <c r="I77" s="104">
        <v>25216.77</v>
      </c>
      <c r="J77" s="108">
        <f t="shared" si="10"/>
        <v>25216.77</v>
      </c>
      <c r="K77" s="180" t="s">
        <v>37</v>
      </c>
      <c r="L77" s="48">
        <f t="shared" si="11"/>
        <v>0</v>
      </c>
      <c r="M77" s="48">
        <f t="shared" si="11"/>
        <v>0</v>
      </c>
      <c r="N77" s="48">
        <f t="shared" si="11"/>
        <v>0</v>
      </c>
      <c r="O77" s="38"/>
      <c r="P77" s="181">
        <f t="shared" si="12"/>
        <v>0</v>
      </c>
      <c r="Q77" s="37">
        <f t="shared" si="12"/>
        <v>0</v>
      </c>
      <c r="R77" s="37">
        <f t="shared" si="12"/>
        <v>0</v>
      </c>
      <c r="W77" s="82"/>
    </row>
    <row r="78" spans="1:23" ht="15" customHeight="1">
      <c r="A78" s="195">
        <v>77</v>
      </c>
      <c r="B78" s="96">
        <v>401003</v>
      </c>
      <c r="C78" s="196" t="s">
        <v>365</v>
      </c>
      <c r="D78" s="197">
        <v>0</v>
      </c>
      <c r="E78" s="32">
        <v>2015</v>
      </c>
      <c r="F78" s="32">
        <v>5</v>
      </c>
      <c r="G78" s="32">
        <f t="shared" si="9"/>
        <v>2019</v>
      </c>
      <c r="H78" s="179">
        <v>1</v>
      </c>
      <c r="I78" s="104">
        <v>15009.08</v>
      </c>
      <c r="J78" s="108">
        <f t="shared" si="10"/>
        <v>15009.08</v>
      </c>
      <c r="K78" s="180" t="s">
        <v>37</v>
      </c>
      <c r="L78" s="48">
        <f t="shared" si="11"/>
        <v>3001.8159999999998</v>
      </c>
      <c r="M78" s="48">
        <f t="shared" si="11"/>
        <v>3001.8159999999998</v>
      </c>
      <c r="N78" s="48">
        <f t="shared" si="11"/>
        <v>3001.8159999999998</v>
      </c>
      <c r="O78" s="38"/>
      <c r="P78" s="181">
        <f t="shared" si="12"/>
        <v>780.47216000000014</v>
      </c>
      <c r="Q78" s="37">
        <f t="shared" si="12"/>
        <v>585.35412000000008</v>
      </c>
      <c r="R78" s="37">
        <f t="shared" si="12"/>
        <v>390.23608000000007</v>
      </c>
      <c r="W78" s="82"/>
    </row>
    <row r="79" spans="1:23" ht="15" customHeight="1">
      <c r="A79" s="195">
        <v>78</v>
      </c>
      <c r="B79" s="96">
        <v>125015</v>
      </c>
      <c r="C79" s="196" t="s">
        <v>367</v>
      </c>
      <c r="D79" s="197">
        <v>0</v>
      </c>
      <c r="E79" s="32" t="s">
        <v>357</v>
      </c>
      <c r="F79" s="32">
        <v>7</v>
      </c>
      <c r="G79" s="32">
        <f t="shared" si="9"/>
        <v>2017</v>
      </c>
      <c r="H79" s="179">
        <v>1</v>
      </c>
      <c r="I79" s="104">
        <v>2862.27</v>
      </c>
      <c r="J79" s="108">
        <f t="shared" si="10"/>
        <v>2862.27</v>
      </c>
      <c r="K79" s="180" t="s">
        <v>37</v>
      </c>
      <c r="L79" s="48">
        <f t="shared" si="11"/>
        <v>0</v>
      </c>
      <c r="M79" s="48">
        <f t="shared" si="11"/>
        <v>0</v>
      </c>
      <c r="N79" s="48">
        <f t="shared" si="11"/>
        <v>0</v>
      </c>
      <c r="O79" s="38"/>
      <c r="P79" s="181">
        <f t="shared" si="12"/>
        <v>0</v>
      </c>
      <c r="Q79" s="37">
        <f t="shared" si="12"/>
        <v>0</v>
      </c>
      <c r="R79" s="37">
        <f t="shared" si="12"/>
        <v>0</v>
      </c>
      <c r="W79" s="82"/>
    </row>
    <row r="80" spans="1:23" ht="15" customHeight="1">
      <c r="A80" s="195">
        <v>79</v>
      </c>
      <c r="B80" s="96">
        <v>135030</v>
      </c>
      <c r="C80" s="196" t="s">
        <v>368</v>
      </c>
      <c r="D80" s="197">
        <v>0</v>
      </c>
      <c r="E80" s="32" t="s">
        <v>357</v>
      </c>
      <c r="F80" s="32">
        <v>10</v>
      </c>
      <c r="G80" s="32">
        <f t="shared" si="9"/>
        <v>2020</v>
      </c>
      <c r="H80" s="179">
        <v>1</v>
      </c>
      <c r="I80" s="104">
        <v>18795.740000000002</v>
      </c>
      <c r="J80" s="108">
        <f t="shared" si="10"/>
        <v>18795.740000000002</v>
      </c>
      <c r="K80" s="180" t="s">
        <v>37</v>
      </c>
      <c r="L80" s="48">
        <f t="shared" si="11"/>
        <v>0</v>
      </c>
      <c r="M80" s="48">
        <f t="shared" si="11"/>
        <v>0</v>
      </c>
      <c r="N80" s="48">
        <f t="shared" si="11"/>
        <v>0</v>
      </c>
      <c r="O80" s="38"/>
      <c r="P80" s="181">
        <f t="shared" si="12"/>
        <v>0</v>
      </c>
      <c r="Q80" s="37">
        <f t="shared" si="12"/>
        <v>0</v>
      </c>
      <c r="R80" s="37">
        <f t="shared" si="12"/>
        <v>0</v>
      </c>
      <c r="W80" s="82"/>
    </row>
    <row r="81" spans="1:23" ht="15" customHeight="1">
      <c r="A81" s="195">
        <v>80</v>
      </c>
      <c r="B81" s="96">
        <v>140010</v>
      </c>
      <c r="C81" s="196" t="s">
        <v>369</v>
      </c>
      <c r="D81" s="197">
        <v>0</v>
      </c>
      <c r="E81" s="32" t="s">
        <v>370</v>
      </c>
      <c r="F81" s="32">
        <v>5</v>
      </c>
      <c r="G81" s="32">
        <f t="shared" si="9"/>
        <v>2014</v>
      </c>
      <c r="H81" s="179">
        <v>1</v>
      </c>
      <c r="I81" s="104">
        <v>60865.82</v>
      </c>
      <c r="J81" s="108">
        <f t="shared" si="10"/>
        <v>60865.82</v>
      </c>
      <c r="K81" s="180" t="s">
        <v>37</v>
      </c>
      <c r="L81" s="48">
        <f t="shared" si="11"/>
        <v>0</v>
      </c>
      <c r="M81" s="48">
        <f t="shared" si="11"/>
        <v>0</v>
      </c>
      <c r="N81" s="48">
        <f t="shared" si="11"/>
        <v>0</v>
      </c>
      <c r="O81" s="38"/>
      <c r="P81" s="181">
        <f t="shared" si="12"/>
        <v>0</v>
      </c>
      <c r="Q81" s="37">
        <f t="shared" si="12"/>
        <v>0</v>
      </c>
      <c r="R81" s="37">
        <f t="shared" si="12"/>
        <v>0</v>
      </c>
      <c r="W81" s="82"/>
    </row>
    <row r="82" spans="1:23" ht="15" customHeight="1">
      <c r="A82" s="195">
        <v>81</v>
      </c>
      <c r="B82" s="96"/>
      <c r="C82" s="196" t="s">
        <v>441</v>
      </c>
      <c r="D82" s="197">
        <v>0</v>
      </c>
      <c r="E82" s="32">
        <v>1979</v>
      </c>
      <c r="F82" s="32"/>
      <c r="G82" s="32" t="str">
        <f t="shared" si="9"/>
        <v/>
      </c>
      <c r="H82" s="179">
        <f>100%-20.94%</f>
        <v>0.79059999999999997</v>
      </c>
      <c r="I82" s="104">
        <v>722724</v>
      </c>
      <c r="J82" s="108">
        <f t="shared" si="10"/>
        <v>571385.59439999994</v>
      </c>
      <c r="K82" s="180" t="s">
        <v>53</v>
      </c>
      <c r="L82" s="48">
        <f t="shared" si="11"/>
        <v>0</v>
      </c>
      <c r="M82" s="48">
        <f t="shared" si="11"/>
        <v>0</v>
      </c>
      <c r="N82" s="48">
        <f t="shared" si="11"/>
        <v>0</v>
      </c>
      <c r="O82" s="38"/>
      <c r="P82" s="181">
        <f t="shared" si="12"/>
        <v>37140.063635999999</v>
      </c>
      <c r="Q82" s="37">
        <f t="shared" si="12"/>
        <v>37140.063635999999</v>
      </c>
      <c r="R82" s="37">
        <f t="shared" si="12"/>
        <v>37140.063635999999</v>
      </c>
      <c r="W82" s="82"/>
    </row>
    <row r="83" spans="1:23" ht="15" customHeight="1">
      <c r="A83" s="195">
        <v>82</v>
      </c>
      <c r="B83" s="96">
        <v>320041</v>
      </c>
      <c r="C83" s="196" t="s">
        <v>377</v>
      </c>
      <c r="D83" s="197">
        <v>0</v>
      </c>
      <c r="E83" s="32" t="s">
        <v>371</v>
      </c>
      <c r="F83" s="32">
        <v>30</v>
      </c>
      <c r="G83" s="32">
        <f t="shared" si="9"/>
        <v>2026</v>
      </c>
      <c r="H83" s="179">
        <v>1</v>
      </c>
      <c r="I83" s="104">
        <v>3000</v>
      </c>
      <c r="J83" s="108">
        <f t="shared" si="10"/>
        <v>3000</v>
      </c>
      <c r="K83" s="180" t="s">
        <v>53</v>
      </c>
      <c r="L83" s="48">
        <f t="shared" si="11"/>
        <v>0</v>
      </c>
      <c r="M83" s="48">
        <f t="shared" si="11"/>
        <v>0</v>
      </c>
      <c r="N83" s="48">
        <f t="shared" si="11"/>
        <v>0</v>
      </c>
      <c r="O83" s="38"/>
      <c r="P83" s="181">
        <f t="shared" si="12"/>
        <v>0</v>
      </c>
      <c r="Q83" s="37">
        <f t="shared" si="12"/>
        <v>0</v>
      </c>
      <c r="R83" s="37">
        <f t="shared" si="12"/>
        <v>0</v>
      </c>
      <c r="W83" s="82"/>
    </row>
    <row r="84" spans="1:23" ht="15" customHeight="1">
      <c r="A84" s="195">
        <v>83</v>
      </c>
      <c r="B84" s="96">
        <v>320043</v>
      </c>
      <c r="C84" s="196" t="s">
        <v>378</v>
      </c>
      <c r="D84" s="197">
        <v>0</v>
      </c>
      <c r="E84" s="32" t="s">
        <v>372</v>
      </c>
      <c r="F84" s="32">
        <v>60</v>
      </c>
      <c r="G84" s="32">
        <f t="shared" si="9"/>
        <v>2026</v>
      </c>
      <c r="H84" s="179">
        <v>1</v>
      </c>
      <c r="I84" s="104">
        <v>544552</v>
      </c>
      <c r="J84" s="108">
        <f t="shared" si="10"/>
        <v>544552</v>
      </c>
      <c r="K84" s="180" t="s">
        <v>53</v>
      </c>
      <c r="L84" s="48">
        <f t="shared" si="11"/>
        <v>0</v>
      </c>
      <c r="M84" s="48">
        <f t="shared" si="11"/>
        <v>0</v>
      </c>
      <c r="N84" s="48">
        <f t="shared" si="11"/>
        <v>0</v>
      </c>
      <c r="O84" s="38"/>
      <c r="P84" s="181">
        <f t="shared" si="12"/>
        <v>0</v>
      </c>
      <c r="Q84" s="37">
        <f t="shared" si="12"/>
        <v>0</v>
      </c>
      <c r="R84" s="37">
        <f t="shared" si="12"/>
        <v>0</v>
      </c>
      <c r="W84" s="82"/>
    </row>
    <row r="85" spans="1:23" ht="15" customHeight="1">
      <c r="A85" s="195">
        <v>84</v>
      </c>
      <c r="B85" s="96">
        <v>320043</v>
      </c>
      <c r="C85" s="196" t="s">
        <v>379</v>
      </c>
      <c r="D85" s="197">
        <v>0</v>
      </c>
      <c r="E85" s="32" t="s">
        <v>372</v>
      </c>
      <c r="F85" s="32">
        <v>60</v>
      </c>
      <c r="G85" s="32">
        <f t="shared" si="9"/>
        <v>2026</v>
      </c>
      <c r="H85" s="179">
        <v>1</v>
      </c>
      <c r="I85" s="104">
        <v>246781</v>
      </c>
      <c r="J85" s="108">
        <f t="shared" si="10"/>
        <v>246781</v>
      </c>
      <c r="K85" s="180" t="s">
        <v>53</v>
      </c>
      <c r="L85" s="48">
        <f t="shared" si="11"/>
        <v>0</v>
      </c>
      <c r="M85" s="48">
        <f t="shared" si="11"/>
        <v>0</v>
      </c>
      <c r="N85" s="48">
        <f t="shared" si="11"/>
        <v>0</v>
      </c>
      <c r="O85" s="38"/>
      <c r="P85" s="181">
        <f t="shared" si="12"/>
        <v>0</v>
      </c>
      <c r="Q85" s="37">
        <f t="shared" si="12"/>
        <v>0</v>
      </c>
      <c r="R85" s="37">
        <f t="shared" si="12"/>
        <v>0</v>
      </c>
      <c r="W85" s="82"/>
    </row>
    <row r="86" spans="1:23" ht="15" customHeight="1">
      <c r="A86" s="195">
        <v>85</v>
      </c>
      <c r="B86" s="96">
        <v>320043</v>
      </c>
      <c r="C86" s="196" t="s">
        <v>380</v>
      </c>
      <c r="D86" s="197">
        <v>0</v>
      </c>
      <c r="E86" s="32" t="s">
        <v>372</v>
      </c>
      <c r="F86" s="32">
        <v>60</v>
      </c>
      <c r="G86" s="32">
        <f t="shared" si="9"/>
        <v>2026</v>
      </c>
      <c r="H86" s="179">
        <v>1</v>
      </c>
      <c r="I86" s="104">
        <v>15000</v>
      </c>
      <c r="J86" s="108">
        <f t="shared" si="10"/>
        <v>15000</v>
      </c>
      <c r="K86" s="180" t="s">
        <v>53</v>
      </c>
      <c r="L86" s="48">
        <f t="shared" si="11"/>
        <v>0</v>
      </c>
      <c r="M86" s="48">
        <f t="shared" si="11"/>
        <v>0</v>
      </c>
      <c r="N86" s="48">
        <f t="shared" si="11"/>
        <v>0</v>
      </c>
      <c r="O86" s="38"/>
      <c r="P86" s="181">
        <f t="shared" si="12"/>
        <v>0</v>
      </c>
      <c r="Q86" s="37">
        <f t="shared" si="12"/>
        <v>0</v>
      </c>
      <c r="R86" s="37">
        <f t="shared" si="12"/>
        <v>0</v>
      </c>
      <c r="W86" s="82"/>
    </row>
    <row r="87" spans="1:23" ht="15" customHeight="1">
      <c r="A87" s="195">
        <v>86</v>
      </c>
      <c r="B87" s="96">
        <v>320043</v>
      </c>
      <c r="C87" s="196" t="s">
        <v>376</v>
      </c>
      <c r="D87" s="197">
        <v>0</v>
      </c>
      <c r="E87" s="32">
        <v>2011</v>
      </c>
      <c r="F87" s="32">
        <v>60</v>
      </c>
      <c r="G87" s="32">
        <f t="shared" si="9"/>
        <v>2070</v>
      </c>
      <c r="H87" s="179">
        <v>1</v>
      </c>
      <c r="I87" s="104">
        <v>331001.75</v>
      </c>
      <c r="J87" s="108">
        <f t="shared" si="10"/>
        <v>331001.75</v>
      </c>
      <c r="K87" s="180" t="s">
        <v>53</v>
      </c>
      <c r="L87" s="48">
        <f t="shared" si="11"/>
        <v>5516.6958333333332</v>
      </c>
      <c r="M87" s="48">
        <f t="shared" si="11"/>
        <v>5516.6958333333332</v>
      </c>
      <c r="N87" s="48">
        <f t="shared" si="11"/>
        <v>5516.6958333333332</v>
      </c>
      <c r="O87" s="38"/>
      <c r="P87" s="181">
        <f t="shared" si="12"/>
        <v>19722.187604166666</v>
      </c>
      <c r="Q87" s="37">
        <f t="shared" si="12"/>
        <v>19363.602375000002</v>
      </c>
      <c r="R87" s="37">
        <f t="shared" si="12"/>
        <v>19005.017145833332</v>
      </c>
      <c r="W87" s="82"/>
    </row>
    <row r="88" spans="1:23" ht="15" customHeight="1">
      <c r="A88" s="195">
        <v>87</v>
      </c>
      <c r="B88" s="96">
        <v>320043</v>
      </c>
      <c r="C88" s="196" t="s">
        <v>373</v>
      </c>
      <c r="D88" s="197">
        <v>0</v>
      </c>
      <c r="E88" s="32">
        <v>2011</v>
      </c>
      <c r="F88" s="32">
        <v>60</v>
      </c>
      <c r="G88" s="32">
        <f t="shared" si="9"/>
        <v>2070</v>
      </c>
      <c r="H88" s="179">
        <f>100%-28.2%</f>
        <v>0.71799999999999997</v>
      </c>
      <c r="I88" s="104">
        <v>6411714.3700000001</v>
      </c>
      <c r="J88" s="108">
        <f t="shared" si="10"/>
        <v>4603610.9176599998</v>
      </c>
      <c r="K88" s="180" t="s">
        <v>53</v>
      </c>
      <c r="L88" s="48">
        <f t="shared" si="11"/>
        <v>76726.848627666666</v>
      </c>
      <c r="M88" s="48">
        <f t="shared" si="11"/>
        <v>76726.848627666666</v>
      </c>
      <c r="N88" s="48">
        <f t="shared" si="11"/>
        <v>76726.848627666666</v>
      </c>
      <c r="O88" s="38"/>
      <c r="P88" s="181">
        <f t="shared" si="12"/>
        <v>274298.4838439083</v>
      </c>
      <c r="Q88" s="37">
        <f t="shared" si="12"/>
        <v>269311.23868310999</v>
      </c>
      <c r="R88" s="37">
        <f t="shared" si="12"/>
        <v>264323.99352231168</v>
      </c>
      <c r="W88" s="82"/>
    </row>
    <row r="89" spans="1:23" ht="15" customHeight="1">
      <c r="A89" s="195">
        <v>88</v>
      </c>
      <c r="B89" s="96">
        <v>320047</v>
      </c>
      <c r="C89" s="196" t="s">
        <v>374</v>
      </c>
      <c r="D89" s="197">
        <v>0</v>
      </c>
      <c r="E89" s="32">
        <v>2011</v>
      </c>
      <c r="F89" s="32">
        <v>15</v>
      </c>
      <c r="G89" s="32">
        <f t="shared" si="9"/>
        <v>2025</v>
      </c>
      <c r="H89" s="179">
        <f t="shared" ref="H89:H101" si="13">100%-28.2%</f>
        <v>0.71799999999999997</v>
      </c>
      <c r="I89" s="104">
        <v>134805.57999999999</v>
      </c>
      <c r="J89" s="108">
        <f t="shared" si="10"/>
        <v>96790.406439999992</v>
      </c>
      <c r="K89" s="180" t="s">
        <v>53</v>
      </c>
      <c r="L89" s="48">
        <f t="shared" si="11"/>
        <v>6452.6937626666659</v>
      </c>
      <c r="M89" s="48">
        <f t="shared" si="11"/>
        <v>6452.6937626666659</v>
      </c>
      <c r="N89" s="48">
        <f t="shared" si="11"/>
        <v>6452.6937626666659</v>
      </c>
      <c r="O89" s="38"/>
      <c r="P89" s="181">
        <f t="shared" si="12"/>
        <v>4194.2509457333335</v>
      </c>
      <c r="Q89" s="37">
        <f t="shared" si="12"/>
        <v>3774.8258511599997</v>
      </c>
      <c r="R89" s="37">
        <f t="shared" si="12"/>
        <v>3355.4007565866664</v>
      </c>
      <c r="W89" s="82"/>
    </row>
    <row r="90" spans="1:23" ht="15" customHeight="1">
      <c r="A90" s="195">
        <v>89</v>
      </c>
      <c r="B90" s="96">
        <v>320048</v>
      </c>
      <c r="C90" s="196" t="s">
        <v>375</v>
      </c>
      <c r="D90" s="197">
        <v>0</v>
      </c>
      <c r="E90" s="32">
        <v>2011</v>
      </c>
      <c r="F90" s="32">
        <v>35</v>
      </c>
      <c r="G90" s="32">
        <f t="shared" si="9"/>
        <v>2045</v>
      </c>
      <c r="H90" s="179">
        <f t="shared" si="13"/>
        <v>0.71799999999999997</v>
      </c>
      <c r="I90" s="104">
        <v>279022.87</v>
      </c>
      <c r="J90" s="108">
        <f t="shared" si="10"/>
        <v>200338.42065999997</v>
      </c>
      <c r="K90" s="180" t="s">
        <v>53</v>
      </c>
      <c r="L90" s="48">
        <f t="shared" si="11"/>
        <v>5723.9548759999989</v>
      </c>
      <c r="M90" s="48">
        <f t="shared" si="11"/>
        <v>5723.9548759999989</v>
      </c>
      <c r="N90" s="48">
        <f t="shared" si="11"/>
        <v>5723.9548759999989</v>
      </c>
      <c r="O90" s="38"/>
      <c r="P90" s="181">
        <f t="shared" si="12"/>
        <v>11161.7120082</v>
      </c>
      <c r="Q90" s="37">
        <f t="shared" si="12"/>
        <v>10789.654941259998</v>
      </c>
      <c r="R90" s="37">
        <f t="shared" si="12"/>
        <v>10417.597874319999</v>
      </c>
      <c r="W90" s="82"/>
    </row>
    <row r="91" spans="1:23" ht="15" customHeight="1">
      <c r="A91" s="195">
        <v>90</v>
      </c>
      <c r="B91" s="96">
        <v>270010</v>
      </c>
      <c r="C91" s="196" t="s">
        <v>391</v>
      </c>
      <c r="D91" s="197">
        <v>0</v>
      </c>
      <c r="E91" s="32">
        <v>2011</v>
      </c>
      <c r="F91" s="32">
        <v>10</v>
      </c>
      <c r="G91" s="32">
        <f t="shared" si="9"/>
        <v>2020</v>
      </c>
      <c r="H91" s="179">
        <f t="shared" si="13"/>
        <v>0.71799999999999997</v>
      </c>
      <c r="I91" s="104">
        <v>2935.78</v>
      </c>
      <c r="J91" s="108">
        <f t="shared" si="10"/>
        <v>2107.8900400000002</v>
      </c>
      <c r="K91" s="180" t="s">
        <v>53</v>
      </c>
      <c r="L91" s="48">
        <f t="shared" si="11"/>
        <v>210.78900400000003</v>
      </c>
      <c r="M91" s="48">
        <f t="shared" si="11"/>
        <v>210.78900400000003</v>
      </c>
      <c r="N91" s="48">
        <f t="shared" si="11"/>
        <v>210.78900400000003</v>
      </c>
      <c r="O91" s="38"/>
      <c r="P91" s="181">
        <f t="shared" si="12"/>
        <v>68.506426300000015</v>
      </c>
      <c r="Q91" s="37">
        <f t="shared" si="12"/>
        <v>54.805141040000009</v>
      </c>
      <c r="R91" s="37">
        <f t="shared" si="12"/>
        <v>41.103855780000011</v>
      </c>
      <c r="W91" s="82"/>
    </row>
    <row r="92" spans="1:23" ht="15" customHeight="1">
      <c r="A92" s="195">
        <v>91</v>
      </c>
      <c r="B92" s="96">
        <v>270010</v>
      </c>
      <c r="C92" s="196" t="s">
        <v>381</v>
      </c>
      <c r="D92" s="197">
        <v>0</v>
      </c>
      <c r="E92" s="32">
        <v>2011</v>
      </c>
      <c r="F92" s="32">
        <v>10</v>
      </c>
      <c r="G92" s="32">
        <f t="shared" si="9"/>
        <v>2020</v>
      </c>
      <c r="H92" s="179">
        <f t="shared" si="13"/>
        <v>0.71799999999999997</v>
      </c>
      <c r="I92" s="104">
        <v>7444.64</v>
      </c>
      <c r="J92" s="108">
        <f t="shared" si="10"/>
        <v>5345.2515199999998</v>
      </c>
      <c r="K92" s="180" t="s">
        <v>53</v>
      </c>
      <c r="L92" s="48">
        <f t="shared" si="11"/>
        <v>534.52515199999993</v>
      </c>
      <c r="M92" s="48">
        <f t="shared" si="11"/>
        <v>534.52515199999993</v>
      </c>
      <c r="N92" s="48">
        <f t="shared" si="11"/>
        <v>534.52515199999993</v>
      </c>
      <c r="O92" s="38"/>
      <c r="P92" s="181">
        <f t="shared" si="12"/>
        <v>173.72067440000001</v>
      </c>
      <c r="Q92" s="37">
        <f t="shared" si="12"/>
        <v>138.97653952000002</v>
      </c>
      <c r="R92" s="37">
        <f t="shared" si="12"/>
        <v>104.23240464000003</v>
      </c>
      <c r="W92" s="82"/>
    </row>
    <row r="93" spans="1:23" ht="15" customHeight="1">
      <c r="A93" s="195">
        <v>92</v>
      </c>
      <c r="B93" s="96">
        <v>270010</v>
      </c>
      <c r="C93" s="196" t="s">
        <v>382</v>
      </c>
      <c r="D93" s="197">
        <v>0</v>
      </c>
      <c r="E93" s="32">
        <v>2011</v>
      </c>
      <c r="F93" s="32">
        <v>10</v>
      </c>
      <c r="G93" s="32">
        <f t="shared" si="9"/>
        <v>2020</v>
      </c>
      <c r="H93" s="179">
        <f t="shared" si="13"/>
        <v>0.71799999999999997</v>
      </c>
      <c r="I93" s="104">
        <v>8827.42</v>
      </c>
      <c r="J93" s="108">
        <f t="shared" si="10"/>
        <v>6338.0875599999999</v>
      </c>
      <c r="K93" s="180" t="s">
        <v>53</v>
      </c>
      <c r="L93" s="48">
        <f t="shared" si="11"/>
        <v>633.80875600000002</v>
      </c>
      <c r="M93" s="48">
        <f t="shared" si="11"/>
        <v>633.80875600000002</v>
      </c>
      <c r="N93" s="48">
        <f t="shared" si="11"/>
        <v>633.80875600000002</v>
      </c>
      <c r="O93" s="38"/>
      <c r="P93" s="181">
        <f t="shared" si="12"/>
        <v>205.98784570000001</v>
      </c>
      <c r="Q93" s="37">
        <f t="shared" si="12"/>
        <v>164.79027656000002</v>
      </c>
      <c r="R93" s="37">
        <f t="shared" si="12"/>
        <v>123.59270742000001</v>
      </c>
      <c r="W93" s="82"/>
    </row>
    <row r="94" spans="1:23" ht="15" customHeight="1">
      <c r="A94" s="195">
        <v>93</v>
      </c>
      <c r="B94" s="96">
        <v>270010</v>
      </c>
      <c r="C94" s="196" t="s">
        <v>383</v>
      </c>
      <c r="D94" s="197">
        <v>0</v>
      </c>
      <c r="E94" s="32">
        <v>2011</v>
      </c>
      <c r="F94" s="32">
        <v>10</v>
      </c>
      <c r="G94" s="32">
        <f t="shared" si="9"/>
        <v>2020</v>
      </c>
      <c r="H94" s="179">
        <f t="shared" si="13"/>
        <v>0.71799999999999997</v>
      </c>
      <c r="I94" s="104">
        <v>13662.39</v>
      </c>
      <c r="J94" s="108">
        <f t="shared" si="10"/>
        <v>9809.596019999999</v>
      </c>
      <c r="K94" s="180" t="s">
        <v>53</v>
      </c>
      <c r="L94" s="48">
        <f t="shared" si="11"/>
        <v>980.9596019999999</v>
      </c>
      <c r="M94" s="48">
        <f t="shared" si="11"/>
        <v>980.9596019999999</v>
      </c>
      <c r="N94" s="48">
        <f t="shared" si="11"/>
        <v>980.9596019999999</v>
      </c>
      <c r="O94" s="38"/>
      <c r="P94" s="181">
        <f t="shared" si="12"/>
        <v>318.81187065</v>
      </c>
      <c r="Q94" s="37">
        <f t="shared" si="12"/>
        <v>255.04949651999999</v>
      </c>
      <c r="R94" s="37">
        <f t="shared" si="12"/>
        <v>191.28712239000001</v>
      </c>
      <c r="W94" s="82"/>
    </row>
    <row r="95" spans="1:23" ht="15" customHeight="1">
      <c r="A95" s="195">
        <v>94</v>
      </c>
      <c r="B95" s="96">
        <v>270010</v>
      </c>
      <c r="C95" s="196" t="s">
        <v>384</v>
      </c>
      <c r="D95" s="197">
        <v>0</v>
      </c>
      <c r="E95" s="32">
        <v>2011</v>
      </c>
      <c r="F95" s="32">
        <v>10</v>
      </c>
      <c r="G95" s="32">
        <f t="shared" si="9"/>
        <v>2020</v>
      </c>
      <c r="H95" s="179">
        <f t="shared" si="13"/>
        <v>0.71799999999999997</v>
      </c>
      <c r="I95" s="104">
        <v>16068.57</v>
      </c>
      <c r="J95" s="108">
        <f t="shared" si="10"/>
        <v>11537.233259999999</v>
      </c>
      <c r="K95" s="180" t="s">
        <v>53</v>
      </c>
      <c r="L95" s="48">
        <f t="shared" si="11"/>
        <v>1153.7233259999998</v>
      </c>
      <c r="M95" s="48">
        <f t="shared" si="11"/>
        <v>1153.7233259999998</v>
      </c>
      <c r="N95" s="48">
        <f t="shared" si="11"/>
        <v>1153.7233259999998</v>
      </c>
      <c r="O95" s="38"/>
      <c r="P95" s="181">
        <f t="shared" si="12"/>
        <v>374.96008094999996</v>
      </c>
      <c r="Q95" s="37">
        <f t="shared" si="12"/>
        <v>299.96806476</v>
      </c>
      <c r="R95" s="37">
        <f t="shared" si="12"/>
        <v>224.97604857000002</v>
      </c>
      <c r="W95" s="82"/>
    </row>
    <row r="96" spans="1:23" ht="15" customHeight="1">
      <c r="A96" s="195">
        <v>95</v>
      </c>
      <c r="B96" s="96">
        <v>270010</v>
      </c>
      <c r="C96" s="196" t="s">
        <v>385</v>
      </c>
      <c r="D96" s="197">
        <v>0</v>
      </c>
      <c r="E96" s="32">
        <v>2011</v>
      </c>
      <c r="F96" s="32">
        <v>10</v>
      </c>
      <c r="G96" s="32">
        <f t="shared" si="9"/>
        <v>2020</v>
      </c>
      <c r="H96" s="179">
        <f t="shared" si="13"/>
        <v>0.71799999999999997</v>
      </c>
      <c r="I96" s="104">
        <v>33256.93</v>
      </c>
      <c r="J96" s="108">
        <f t="shared" si="10"/>
        <v>23878.475739999998</v>
      </c>
      <c r="K96" s="180" t="s">
        <v>53</v>
      </c>
      <c r="L96" s="48">
        <f t="shared" si="11"/>
        <v>2387.8475739999999</v>
      </c>
      <c r="M96" s="48">
        <f t="shared" si="11"/>
        <v>2387.8475739999999</v>
      </c>
      <c r="N96" s="48">
        <f t="shared" si="11"/>
        <v>2387.8475739999999</v>
      </c>
      <c r="O96" s="38"/>
      <c r="P96" s="181">
        <f t="shared" si="12"/>
        <v>776.05046154999991</v>
      </c>
      <c r="Q96" s="37">
        <f t="shared" si="12"/>
        <v>620.84036923999997</v>
      </c>
      <c r="R96" s="37">
        <f t="shared" si="12"/>
        <v>465.63027693000004</v>
      </c>
      <c r="W96" s="82"/>
    </row>
    <row r="97" spans="1:23" ht="15" customHeight="1">
      <c r="A97" s="195">
        <v>96</v>
      </c>
      <c r="B97" s="96">
        <v>270010</v>
      </c>
      <c r="C97" s="196" t="s">
        <v>386</v>
      </c>
      <c r="D97" s="197">
        <v>0</v>
      </c>
      <c r="E97" s="32">
        <v>2011</v>
      </c>
      <c r="F97" s="32">
        <v>10</v>
      </c>
      <c r="G97" s="32">
        <f t="shared" si="9"/>
        <v>2020</v>
      </c>
      <c r="H97" s="179">
        <f t="shared" si="13"/>
        <v>0.71799999999999997</v>
      </c>
      <c r="I97" s="104">
        <v>58891.91</v>
      </c>
      <c r="J97" s="108">
        <f t="shared" si="10"/>
        <v>42284.391380000001</v>
      </c>
      <c r="K97" s="180" t="s">
        <v>53</v>
      </c>
      <c r="L97" s="48">
        <f t="shared" si="11"/>
        <v>4228.4391379999997</v>
      </c>
      <c r="M97" s="48">
        <f t="shared" si="11"/>
        <v>4228.4391379999997</v>
      </c>
      <c r="N97" s="48">
        <f t="shared" si="11"/>
        <v>4228.4391379999997</v>
      </c>
      <c r="O97" s="38"/>
      <c r="P97" s="181">
        <f t="shared" si="12"/>
        <v>1374.2427198500002</v>
      </c>
      <c r="Q97" s="37">
        <f t="shared" si="12"/>
        <v>1099.3941758800001</v>
      </c>
      <c r="R97" s="37">
        <f t="shared" si="12"/>
        <v>824.54563191000022</v>
      </c>
      <c r="W97" s="82"/>
    </row>
    <row r="98" spans="1:23" ht="15" customHeight="1">
      <c r="A98" s="195">
        <v>97</v>
      </c>
      <c r="B98" s="96">
        <v>270010</v>
      </c>
      <c r="C98" s="196" t="s">
        <v>387</v>
      </c>
      <c r="D98" s="197">
        <v>0</v>
      </c>
      <c r="E98" s="32">
        <v>2011</v>
      </c>
      <c r="F98" s="32">
        <v>10</v>
      </c>
      <c r="G98" s="32">
        <f t="shared" si="9"/>
        <v>2020</v>
      </c>
      <c r="H98" s="179">
        <f t="shared" si="13"/>
        <v>0.71799999999999997</v>
      </c>
      <c r="I98" s="104">
        <v>14896.42</v>
      </c>
      <c r="J98" s="108">
        <f t="shared" si="10"/>
        <v>10695.629559999999</v>
      </c>
      <c r="K98" s="180" t="s">
        <v>53</v>
      </c>
      <c r="L98" s="48">
        <f t="shared" si="11"/>
        <v>1069.562956</v>
      </c>
      <c r="M98" s="48">
        <f t="shared" si="11"/>
        <v>1069.562956</v>
      </c>
      <c r="N98" s="48">
        <f t="shared" si="11"/>
        <v>1069.562956</v>
      </c>
      <c r="O98" s="38"/>
      <c r="P98" s="181">
        <f t="shared" si="12"/>
        <v>347.60796069999998</v>
      </c>
      <c r="Q98" s="37">
        <f t="shared" si="12"/>
        <v>278.08636855999998</v>
      </c>
      <c r="R98" s="37">
        <f t="shared" si="12"/>
        <v>208.56477642000002</v>
      </c>
      <c r="W98" s="82"/>
    </row>
    <row r="99" spans="1:23" ht="15" customHeight="1">
      <c r="A99" s="195">
        <v>98</v>
      </c>
      <c r="B99" s="96">
        <v>270010</v>
      </c>
      <c r="C99" s="196" t="s">
        <v>388</v>
      </c>
      <c r="D99" s="197">
        <v>0</v>
      </c>
      <c r="E99" s="32">
        <v>2011</v>
      </c>
      <c r="F99" s="32">
        <v>10</v>
      </c>
      <c r="G99" s="32">
        <f t="shared" si="9"/>
        <v>2020</v>
      </c>
      <c r="H99" s="179">
        <f t="shared" si="13"/>
        <v>0.71799999999999997</v>
      </c>
      <c r="I99" s="104">
        <v>226107.14</v>
      </c>
      <c r="J99" s="108">
        <f t="shared" si="10"/>
        <v>162344.92652000001</v>
      </c>
      <c r="K99" s="180" t="s">
        <v>53</v>
      </c>
      <c r="L99" s="48">
        <f t="shared" si="11"/>
        <v>16234.492652000001</v>
      </c>
      <c r="M99" s="48">
        <f t="shared" si="11"/>
        <v>16234.492652000001</v>
      </c>
      <c r="N99" s="48">
        <f t="shared" si="11"/>
        <v>16234.492652000001</v>
      </c>
      <c r="O99" s="38"/>
      <c r="P99" s="181">
        <f t="shared" si="12"/>
        <v>5276.2101119000008</v>
      </c>
      <c r="Q99" s="37">
        <f t="shared" si="12"/>
        <v>4220.9680895199999</v>
      </c>
      <c r="R99" s="37">
        <f t="shared" si="12"/>
        <v>3165.7260671400009</v>
      </c>
      <c r="W99" s="82"/>
    </row>
    <row r="100" spans="1:23" ht="15" customHeight="1">
      <c r="A100" s="195">
        <v>99</v>
      </c>
      <c r="B100" s="96">
        <v>270010</v>
      </c>
      <c r="C100" s="196" t="s">
        <v>390</v>
      </c>
      <c r="D100" s="197">
        <v>0</v>
      </c>
      <c r="E100" s="32">
        <v>2012</v>
      </c>
      <c r="F100" s="32">
        <v>10</v>
      </c>
      <c r="G100" s="32">
        <f t="shared" si="9"/>
        <v>2021</v>
      </c>
      <c r="H100" s="179">
        <f t="shared" si="13"/>
        <v>0.71799999999999997</v>
      </c>
      <c r="I100" s="104">
        <v>10440.64</v>
      </c>
      <c r="J100" s="108">
        <f t="shared" si="10"/>
        <v>7496.3795199999995</v>
      </c>
      <c r="K100" s="180" t="s">
        <v>53</v>
      </c>
      <c r="L100" s="48">
        <f t="shared" si="11"/>
        <v>749.63795199999993</v>
      </c>
      <c r="M100" s="48">
        <f t="shared" si="11"/>
        <v>749.63795199999993</v>
      </c>
      <c r="N100" s="48">
        <f t="shared" si="11"/>
        <v>749.63795199999993</v>
      </c>
      <c r="O100" s="38"/>
      <c r="P100" s="181">
        <f t="shared" si="12"/>
        <v>292.35880127999997</v>
      </c>
      <c r="Q100" s="37">
        <f t="shared" si="12"/>
        <v>243.63233439999999</v>
      </c>
      <c r="R100" s="37">
        <f t="shared" si="12"/>
        <v>194.90586752000002</v>
      </c>
      <c r="W100" s="82"/>
    </row>
    <row r="101" spans="1:23" ht="15" customHeight="1">
      <c r="A101" s="195">
        <v>100</v>
      </c>
      <c r="B101" s="96">
        <v>270011</v>
      </c>
      <c r="C101" s="196" t="s">
        <v>389</v>
      </c>
      <c r="D101" s="197">
        <v>0</v>
      </c>
      <c r="E101" s="32">
        <v>2011</v>
      </c>
      <c r="F101" s="32">
        <v>20</v>
      </c>
      <c r="G101" s="32">
        <f t="shared" si="9"/>
        <v>2030</v>
      </c>
      <c r="H101" s="179">
        <f t="shared" si="13"/>
        <v>0.71799999999999997</v>
      </c>
      <c r="I101" s="104">
        <v>12594.96</v>
      </c>
      <c r="J101" s="108">
        <f t="shared" si="10"/>
        <v>9043.1812799999989</v>
      </c>
      <c r="K101" s="180" t="s">
        <v>53</v>
      </c>
      <c r="L101" s="48">
        <f t="shared" si="11"/>
        <v>452.15906399999994</v>
      </c>
      <c r="M101" s="48">
        <f t="shared" si="11"/>
        <v>452.15906399999994</v>
      </c>
      <c r="N101" s="48">
        <f t="shared" si="11"/>
        <v>452.15906399999994</v>
      </c>
      <c r="O101" s="38"/>
      <c r="P101" s="181">
        <f t="shared" si="12"/>
        <v>440.8550874</v>
      </c>
      <c r="Q101" s="37">
        <f t="shared" si="12"/>
        <v>411.46474823999995</v>
      </c>
      <c r="R101" s="37">
        <f t="shared" si="12"/>
        <v>382.07440908000001</v>
      </c>
      <c r="W101" s="82"/>
    </row>
    <row r="102" spans="1:23" ht="15" customHeight="1">
      <c r="A102" s="195">
        <v>101</v>
      </c>
      <c r="B102" s="96">
        <v>320043</v>
      </c>
      <c r="C102" s="196" t="s">
        <v>392</v>
      </c>
      <c r="D102" s="197">
        <v>0</v>
      </c>
      <c r="E102" s="32">
        <v>1979</v>
      </c>
      <c r="F102" s="32">
        <v>60</v>
      </c>
      <c r="G102" s="32">
        <f t="shared" si="9"/>
        <v>2038</v>
      </c>
      <c r="H102" s="179">
        <v>1</v>
      </c>
      <c r="I102" s="104">
        <v>238824</v>
      </c>
      <c r="J102" s="108">
        <f t="shared" si="10"/>
        <v>238824</v>
      </c>
      <c r="K102" s="180" t="s">
        <v>53</v>
      </c>
      <c r="L102" s="48">
        <f t="shared" si="11"/>
        <v>3980.4</v>
      </c>
      <c r="M102" s="48">
        <f t="shared" si="11"/>
        <v>3980.4</v>
      </c>
      <c r="N102" s="48">
        <f t="shared" si="11"/>
        <v>3980.4</v>
      </c>
      <c r="O102" s="38"/>
      <c r="P102" s="181">
        <f t="shared" si="12"/>
        <v>5950.6980000000003</v>
      </c>
      <c r="Q102" s="37">
        <f t="shared" si="12"/>
        <v>5691.9720000000007</v>
      </c>
      <c r="R102" s="37">
        <f t="shared" si="12"/>
        <v>5433.2460000000001</v>
      </c>
      <c r="W102" s="82"/>
    </row>
    <row r="103" spans="1:23" ht="15" customHeight="1">
      <c r="A103" s="195">
        <v>102</v>
      </c>
      <c r="B103" s="96">
        <v>320043</v>
      </c>
      <c r="C103" s="196" t="s">
        <v>393</v>
      </c>
      <c r="D103" s="197">
        <v>0</v>
      </c>
      <c r="E103" s="32">
        <v>1979</v>
      </c>
      <c r="F103" s="32">
        <v>60</v>
      </c>
      <c r="G103" s="32">
        <f t="shared" si="9"/>
        <v>2038</v>
      </c>
      <c r="H103" s="179">
        <v>1</v>
      </c>
      <c r="I103" s="104">
        <v>8000</v>
      </c>
      <c r="J103" s="108">
        <f t="shared" si="10"/>
        <v>8000</v>
      </c>
      <c r="K103" s="180" t="s">
        <v>53</v>
      </c>
      <c r="L103" s="48">
        <f t="shared" si="11"/>
        <v>133.33333333333334</v>
      </c>
      <c r="M103" s="48">
        <f t="shared" si="11"/>
        <v>133.33333333333334</v>
      </c>
      <c r="N103" s="48">
        <f t="shared" si="11"/>
        <v>133.33333333333334</v>
      </c>
      <c r="O103" s="38"/>
      <c r="P103" s="181">
        <f t="shared" si="12"/>
        <v>199.33333333333334</v>
      </c>
      <c r="Q103" s="37">
        <f t="shared" si="12"/>
        <v>190.66666666666669</v>
      </c>
      <c r="R103" s="37">
        <f t="shared" si="12"/>
        <v>182</v>
      </c>
      <c r="W103" s="1"/>
    </row>
    <row r="104" spans="1:23" ht="15" customHeight="1">
      <c r="A104" s="32"/>
      <c r="B104" s="96"/>
      <c r="C104" s="70"/>
      <c r="D104" s="32"/>
      <c r="E104" s="32"/>
      <c r="F104" s="32"/>
      <c r="G104" s="32"/>
      <c r="H104" s="32"/>
      <c r="I104" s="104"/>
      <c r="J104" s="32"/>
      <c r="K104" s="32"/>
      <c r="L104" s="38"/>
      <c r="M104" s="38"/>
      <c r="N104" s="38"/>
      <c r="O104" s="38"/>
      <c r="P104" s="38"/>
      <c r="Q104" s="38"/>
      <c r="R104" s="38"/>
      <c r="S104" s="31"/>
      <c r="T104" s="31"/>
      <c r="U104" s="73"/>
      <c r="V104" s="31"/>
      <c r="W104" s="31"/>
    </row>
    <row r="105" spans="1:23" s="31" customFormat="1" ht="15" customHeight="1">
      <c r="A105" s="34"/>
      <c r="B105" s="97"/>
      <c r="C105" s="100"/>
      <c r="D105" s="34"/>
      <c r="E105" s="34"/>
      <c r="F105" s="34"/>
      <c r="G105" s="34"/>
      <c r="H105" s="34"/>
      <c r="I105" s="105"/>
      <c r="J105" s="34"/>
      <c r="K105" s="34" t="s">
        <v>15</v>
      </c>
      <c r="L105" s="39">
        <f>SUM(L2:L104)</f>
        <v>248864.9534423333</v>
      </c>
      <c r="M105" s="39">
        <f>SUM(M2:M104)</f>
        <v>248571.0234423333</v>
      </c>
      <c r="N105" s="39">
        <f>SUM(N2:N104)</f>
        <v>236454.89519233329</v>
      </c>
      <c r="O105" s="38"/>
      <c r="P105" s="39">
        <f>SUM(P2:P104)</f>
        <v>445454.68982410483</v>
      </c>
      <c r="Q105" s="39">
        <f>SUM(Q2:Q104)</f>
        <v>429278.46785035334</v>
      </c>
      <c r="R105" s="39">
        <f>SUM(R2:R104)</f>
        <v>413121.3513266017</v>
      </c>
      <c r="S105" s="1"/>
      <c r="T105" s="1"/>
      <c r="U105" s="72"/>
      <c r="V105" s="1"/>
      <c r="W105" s="1"/>
    </row>
    <row r="106" spans="1:23" ht="15" customHeight="1">
      <c r="A106" s="32"/>
      <c r="B106" s="96"/>
      <c r="C106" s="70"/>
      <c r="D106" s="32"/>
      <c r="E106" s="32"/>
      <c r="F106" s="32"/>
      <c r="G106" s="32"/>
      <c r="H106" s="32"/>
      <c r="I106" s="104"/>
      <c r="J106" s="32"/>
      <c r="K106" s="32"/>
      <c r="L106" s="38"/>
      <c r="M106" s="38"/>
      <c r="N106" s="38"/>
      <c r="O106" s="38"/>
      <c r="P106" s="38"/>
      <c r="Q106" s="38"/>
      <c r="R106" s="38"/>
      <c r="S106" s="72"/>
      <c r="W106" s="1"/>
    </row>
    <row r="107" spans="1:23" ht="15" customHeight="1">
      <c r="L107" s="1"/>
      <c r="M107" s="1"/>
      <c r="N107" s="1"/>
      <c r="U107" s="72"/>
      <c r="W107" s="1"/>
    </row>
    <row r="108" spans="1:23" ht="15" customHeight="1">
      <c r="G108" s="41"/>
      <c r="H108" s="41"/>
      <c r="I108" s="107"/>
      <c r="J108" s="74"/>
      <c r="K108" s="75"/>
      <c r="L108" s="41">
        <f>+L1</f>
        <v>2016</v>
      </c>
      <c r="M108" s="41">
        <f>+M1</f>
        <v>2017</v>
      </c>
      <c r="N108" s="41">
        <f>+N1</f>
        <v>2018</v>
      </c>
      <c r="O108" s="44"/>
      <c r="P108" s="41">
        <f>+P1</f>
        <v>2016</v>
      </c>
      <c r="Q108" s="41">
        <f>+Q1</f>
        <v>2017</v>
      </c>
      <c r="R108" s="41">
        <f>+R1</f>
        <v>2018</v>
      </c>
      <c r="U108" s="72"/>
      <c r="W108" s="1"/>
    </row>
    <row r="109" spans="1:23" ht="15" customHeight="1">
      <c r="G109" s="32"/>
      <c r="H109" s="32"/>
      <c r="I109" s="104"/>
      <c r="J109" s="76" t="s">
        <v>121</v>
      </c>
      <c r="K109" s="33" t="str">
        <f>+Legende!B2</f>
        <v>FZ</v>
      </c>
      <c r="L109" s="38">
        <f t="shared" ref="L109:N112" si="14">+SUMIF($K$2:$K$103,$K109,L$2:L$103)</f>
        <v>4756.6110000000008</v>
      </c>
      <c r="M109" s="38">
        <f t="shared" si="14"/>
        <v>4756.6110000000008</v>
      </c>
      <c r="N109" s="38">
        <f t="shared" si="14"/>
        <v>4599.1397500000012</v>
      </c>
      <c r="O109" s="38"/>
      <c r="P109" s="38">
        <f t="shared" ref="P109:R112" si="15">+SUMIF($K$2:$K$103,$K109,P$2:P$103)</f>
        <v>2156.5497470833334</v>
      </c>
      <c r="Q109" s="38">
        <f t="shared" si="15"/>
        <v>1847.3700320833334</v>
      </c>
      <c r="R109" s="38">
        <f t="shared" si="15"/>
        <v>1538.1903170833332</v>
      </c>
      <c r="U109" s="72"/>
      <c r="W109" s="1"/>
    </row>
    <row r="110" spans="1:23" ht="15" customHeight="1">
      <c r="G110" s="32"/>
      <c r="H110" s="32"/>
      <c r="I110" s="104"/>
      <c r="J110" s="76" t="s">
        <v>121</v>
      </c>
      <c r="K110" s="33" t="str">
        <f>+Legende!B3</f>
        <v>PE</v>
      </c>
      <c r="L110" s="38">
        <f t="shared" si="14"/>
        <v>2194.7060000000001</v>
      </c>
      <c r="M110" s="38">
        <f t="shared" si="14"/>
        <v>2194.7060000000001</v>
      </c>
      <c r="N110" s="38">
        <f t="shared" si="14"/>
        <v>2194.7060000000001</v>
      </c>
      <c r="O110" s="38"/>
      <c r="P110" s="38">
        <f t="shared" si="15"/>
        <v>929.9308850000001</v>
      </c>
      <c r="Q110" s="38">
        <f t="shared" si="15"/>
        <v>787.27499499999999</v>
      </c>
      <c r="R110" s="38">
        <f t="shared" si="15"/>
        <v>644.6191050000001</v>
      </c>
      <c r="U110" s="72"/>
      <c r="W110" s="1"/>
    </row>
    <row r="111" spans="1:23" ht="15" customHeight="1">
      <c r="G111" s="32"/>
      <c r="H111" s="32"/>
      <c r="I111" s="104"/>
      <c r="J111" s="76" t="s">
        <v>121</v>
      </c>
      <c r="K111" s="33" t="str">
        <f>+Legende!B4</f>
        <v>Gb</v>
      </c>
      <c r="L111" s="38">
        <f t="shared" si="14"/>
        <v>128942.79010900001</v>
      </c>
      <c r="M111" s="38">
        <f t="shared" si="14"/>
        <v>128942.79010900001</v>
      </c>
      <c r="N111" s="38">
        <f t="shared" si="14"/>
        <v>128942.79010900001</v>
      </c>
      <c r="O111" s="38"/>
      <c r="P111" s="38">
        <f t="shared" si="15"/>
        <v>362944.75108452147</v>
      </c>
      <c r="Q111" s="38">
        <f t="shared" si="15"/>
        <v>354563.46972743672</v>
      </c>
      <c r="R111" s="38">
        <f t="shared" si="15"/>
        <v>346182.18837035168</v>
      </c>
      <c r="U111" s="72"/>
      <c r="W111" s="1"/>
    </row>
    <row r="112" spans="1:23" ht="15" customHeight="1">
      <c r="G112" s="32"/>
      <c r="H112" s="32"/>
      <c r="I112" s="104"/>
      <c r="J112" s="76" t="s">
        <v>121</v>
      </c>
      <c r="K112" s="33" t="str">
        <f>+Legende!B5</f>
        <v>VW</v>
      </c>
      <c r="L112" s="38">
        <f t="shared" si="14"/>
        <v>12440.187999999998</v>
      </c>
      <c r="M112" s="38">
        <f t="shared" si="14"/>
        <v>12146.257999999998</v>
      </c>
      <c r="N112" s="38">
        <f t="shared" si="14"/>
        <v>12146.257999999998</v>
      </c>
      <c r="O112" s="38"/>
      <c r="P112" s="38">
        <f t="shared" si="15"/>
        <v>2582.7438000000002</v>
      </c>
      <c r="Q112" s="38">
        <f t="shared" si="15"/>
        <v>1774.1315800000002</v>
      </c>
      <c r="R112" s="38">
        <f t="shared" si="15"/>
        <v>984.62481000000002</v>
      </c>
      <c r="U112" s="72"/>
      <c r="W112" s="1"/>
    </row>
    <row r="113" spans="2:23" ht="15" customHeight="1">
      <c r="G113" s="32"/>
      <c r="H113" s="32"/>
      <c r="I113" s="104"/>
      <c r="J113" s="76"/>
      <c r="K113" s="33"/>
      <c r="L113" s="38"/>
      <c r="M113" s="38"/>
      <c r="N113" s="38"/>
      <c r="O113" s="38"/>
      <c r="P113" s="38"/>
      <c r="Q113" s="38"/>
      <c r="R113" s="38"/>
      <c r="U113" s="72"/>
      <c r="W113" s="1"/>
    </row>
    <row r="114" spans="2:23" ht="15" customHeight="1">
      <c r="G114" s="32"/>
      <c r="H114" s="32"/>
      <c r="I114" s="104"/>
      <c r="J114" s="76" t="s">
        <v>121</v>
      </c>
      <c r="K114" s="33" t="str">
        <f>+Legende!B7</f>
        <v>ELW1</v>
      </c>
      <c r="L114" s="38">
        <f t="shared" ref="L114:N127" si="16">+SUMIF($K$2:$K$103,$K114,L$2:L$103)</f>
        <v>4203.38</v>
      </c>
      <c r="M114" s="38">
        <f t="shared" si="16"/>
        <v>4203.38</v>
      </c>
      <c r="N114" s="38">
        <f t="shared" si="16"/>
        <v>4203.38</v>
      </c>
      <c r="O114" s="38"/>
      <c r="P114" s="38">
        <f t="shared" ref="P114:R127" si="17">+SUMIF($K$2:$K$103,$K114,P$2:P$103)</f>
        <v>2185.7575999999999</v>
      </c>
      <c r="Q114" s="38">
        <f t="shared" si="17"/>
        <v>1912.5379</v>
      </c>
      <c r="R114" s="38">
        <f t="shared" si="17"/>
        <v>1639.3182000000004</v>
      </c>
      <c r="U114" s="72"/>
      <c r="W114" s="1"/>
    </row>
    <row r="115" spans="2:23" ht="15" customHeight="1">
      <c r="G115" s="32"/>
      <c r="H115" s="32"/>
      <c r="I115" s="104"/>
      <c r="J115" s="76" t="s">
        <v>121</v>
      </c>
      <c r="K115" s="33" t="str">
        <f>+Legende!B8</f>
        <v>GWG</v>
      </c>
      <c r="L115" s="38">
        <f t="shared" si="16"/>
        <v>0</v>
      </c>
      <c r="M115" s="38">
        <f t="shared" si="16"/>
        <v>0</v>
      </c>
      <c r="N115" s="38">
        <f t="shared" si="16"/>
        <v>0</v>
      </c>
      <c r="O115" s="38"/>
      <c r="P115" s="38">
        <f t="shared" si="17"/>
        <v>0</v>
      </c>
      <c r="Q115" s="38">
        <f t="shared" si="17"/>
        <v>0</v>
      </c>
      <c r="R115" s="38">
        <f t="shared" si="17"/>
        <v>0</v>
      </c>
      <c r="U115" s="72"/>
      <c r="W115" s="1"/>
    </row>
    <row r="116" spans="2:23" ht="15" customHeight="1">
      <c r="G116" s="32"/>
      <c r="H116" s="32"/>
      <c r="I116" s="104"/>
      <c r="J116" s="76" t="s">
        <v>121</v>
      </c>
      <c r="K116" s="33" t="str">
        <f>+Legende!B9</f>
        <v>GWL</v>
      </c>
      <c r="L116" s="38">
        <f t="shared" si="16"/>
        <v>3459.3239999999996</v>
      </c>
      <c r="M116" s="38">
        <f t="shared" si="16"/>
        <v>3459.3239999999996</v>
      </c>
      <c r="N116" s="38">
        <f t="shared" si="16"/>
        <v>3459.3239999999996</v>
      </c>
      <c r="O116" s="38"/>
      <c r="P116" s="38">
        <f t="shared" si="17"/>
        <v>674.5681800000001</v>
      </c>
      <c r="Q116" s="38">
        <f t="shared" si="17"/>
        <v>449.71211999999991</v>
      </c>
      <c r="R116" s="38">
        <f t="shared" si="17"/>
        <v>224.85606000000018</v>
      </c>
      <c r="U116" s="72"/>
      <c r="W116" s="1"/>
    </row>
    <row r="117" spans="2:23" ht="15" customHeight="1">
      <c r="G117" s="32"/>
      <c r="H117" s="32"/>
      <c r="I117" s="104"/>
      <c r="J117" s="76" t="s">
        <v>121</v>
      </c>
      <c r="K117" s="33" t="str">
        <f>+Legende!B10</f>
        <v>HLF 20</v>
      </c>
      <c r="L117" s="38">
        <f t="shared" si="16"/>
        <v>36745.284500000002</v>
      </c>
      <c r="M117" s="38">
        <f t="shared" si="16"/>
        <v>36745.284500000002</v>
      </c>
      <c r="N117" s="38">
        <f t="shared" si="16"/>
        <v>36745.284500000002</v>
      </c>
      <c r="O117" s="38"/>
      <c r="P117" s="38">
        <f t="shared" si="17"/>
        <v>44340.770109999998</v>
      </c>
      <c r="Q117" s="38">
        <f t="shared" si="17"/>
        <v>41952.326617500003</v>
      </c>
      <c r="R117" s="38">
        <f t="shared" si="17"/>
        <v>39563.883125</v>
      </c>
      <c r="U117" s="72"/>
      <c r="W117" s="1"/>
    </row>
    <row r="118" spans="2:23" ht="15" customHeight="1">
      <c r="G118" s="32"/>
      <c r="H118" s="32"/>
      <c r="I118" s="104"/>
      <c r="J118" s="76" t="s">
        <v>121</v>
      </c>
      <c r="K118" s="33" t="str">
        <f>+Legende!B11</f>
        <v>KEF</v>
      </c>
      <c r="L118" s="38">
        <f t="shared" si="16"/>
        <v>2552.1330000000003</v>
      </c>
      <c r="M118" s="38">
        <f t="shared" si="16"/>
        <v>2552.1330000000003</v>
      </c>
      <c r="N118" s="38">
        <f t="shared" si="16"/>
        <v>2552.1330000000003</v>
      </c>
      <c r="O118" s="38"/>
      <c r="P118" s="38">
        <f t="shared" si="17"/>
        <v>1658.8864500000002</v>
      </c>
      <c r="Q118" s="38">
        <f t="shared" si="17"/>
        <v>1492.997805</v>
      </c>
      <c r="R118" s="38">
        <f t="shared" si="17"/>
        <v>1327.1091600000002</v>
      </c>
      <c r="U118" s="72"/>
      <c r="W118" s="1"/>
    </row>
    <row r="119" spans="2:23" ht="15" customHeight="1">
      <c r="G119" s="32"/>
      <c r="H119" s="32"/>
      <c r="I119" s="104"/>
      <c r="J119" s="76" t="s">
        <v>121</v>
      </c>
      <c r="K119" s="33" t="str">
        <f>+Legende!B12</f>
        <v>KdoW</v>
      </c>
      <c r="L119" s="38">
        <f t="shared" si="16"/>
        <v>3990.9230000000002</v>
      </c>
      <c r="M119" s="38">
        <f t="shared" si="16"/>
        <v>3990.9230000000002</v>
      </c>
      <c r="N119" s="38">
        <f t="shared" si="16"/>
        <v>3990.9230000000002</v>
      </c>
      <c r="O119" s="38"/>
      <c r="P119" s="38">
        <f t="shared" si="17"/>
        <v>1815.8699650000001</v>
      </c>
      <c r="Q119" s="38">
        <f t="shared" si="17"/>
        <v>1556.4599700000001</v>
      </c>
      <c r="R119" s="38">
        <f t="shared" si="17"/>
        <v>1297.0499750000001</v>
      </c>
      <c r="U119" s="72"/>
      <c r="W119" s="1"/>
    </row>
    <row r="120" spans="2:23" ht="15" customHeight="1">
      <c r="G120" s="32"/>
      <c r="H120" s="32"/>
      <c r="I120" s="104"/>
      <c r="J120" s="76" t="s">
        <v>121</v>
      </c>
      <c r="K120" s="33" t="str">
        <f>+Legende!B13</f>
        <v>AB Wasser</v>
      </c>
      <c r="L120" s="38">
        <f t="shared" si="16"/>
        <v>4332</v>
      </c>
      <c r="M120" s="38">
        <f t="shared" si="16"/>
        <v>4332</v>
      </c>
      <c r="N120" s="38">
        <f t="shared" si="16"/>
        <v>4332</v>
      </c>
      <c r="O120" s="38"/>
      <c r="P120" s="38">
        <f t="shared" si="17"/>
        <v>2534.2199999999998</v>
      </c>
      <c r="Q120" s="38">
        <f t="shared" si="17"/>
        <v>2252.64</v>
      </c>
      <c r="R120" s="38">
        <f t="shared" si="17"/>
        <v>1971.0599999999997</v>
      </c>
      <c r="U120" s="72"/>
      <c r="W120" s="1"/>
    </row>
    <row r="121" spans="2:23" ht="15" customHeight="1">
      <c r="G121" s="32"/>
      <c r="H121" s="32"/>
      <c r="I121" s="104"/>
      <c r="J121" s="76" t="s">
        <v>121</v>
      </c>
      <c r="K121" s="33" t="str">
        <f>+Legende!B14</f>
        <v>AB Mulde</v>
      </c>
      <c r="L121" s="38">
        <f t="shared" si="16"/>
        <v>303.2</v>
      </c>
      <c r="M121" s="38">
        <f t="shared" si="16"/>
        <v>303.2</v>
      </c>
      <c r="N121" s="38">
        <f t="shared" si="16"/>
        <v>303.2</v>
      </c>
      <c r="O121" s="38"/>
      <c r="P121" s="38">
        <f t="shared" si="17"/>
        <v>177.37199999999999</v>
      </c>
      <c r="Q121" s="38">
        <f t="shared" si="17"/>
        <v>157.66399999999999</v>
      </c>
      <c r="R121" s="38">
        <f t="shared" si="17"/>
        <v>137.95600000000002</v>
      </c>
      <c r="U121" s="72"/>
      <c r="W121" s="1"/>
    </row>
    <row r="122" spans="2:23" ht="15" customHeight="1">
      <c r="G122" s="32"/>
      <c r="H122" s="32"/>
      <c r="I122" s="104"/>
      <c r="J122" s="76" t="s">
        <v>121</v>
      </c>
      <c r="K122" s="33" t="str">
        <f>+Legende!B15</f>
        <v>LF 16 TS</v>
      </c>
      <c r="L122" s="38">
        <f t="shared" si="16"/>
        <v>0</v>
      </c>
      <c r="M122" s="38">
        <f t="shared" si="16"/>
        <v>0</v>
      </c>
      <c r="N122" s="38">
        <f t="shared" si="16"/>
        <v>0</v>
      </c>
      <c r="O122" s="38"/>
      <c r="P122" s="38">
        <f t="shared" si="17"/>
        <v>0</v>
      </c>
      <c r="Q122" s="38">
        <f t="shared" si="17"/>
        <v>0</v>
      </c>
      <c r="R122" s="38">
        <f t="shared" si="17"/>
        <v>0</v>
      </c>
      <c r="U122" s="72"/>
      <c r="W122" s="1"/>
    </row>
    <row r="123" spans="2:23" ht="15" customHeight="1">
      <c r="G123" s="32"/>
      <c r="H123" s="32"/>
      <c r="I123" s="104"/>
      <c r="J123" s="76" t="s">
        <v>121</v>
      </c>
      <c r="K123" s="33" t="str">
        <f>+Legende!B16</f>
        <v>LF 20</v>
      </c>
      <c r="L123" s="38">
        <f t="shared" si="16"/>
        <v>11958.657000000001</v>
      </c>
      <c r="M123" s="38">
        <f t="shared" si="16"/>
        <v>11958.657000000001</v>
      </c>
      <c r="N123" s="38">
        <f t="shared" si="16"/>
        <v>0</v>
      </c>
      <c r="O123" s="38"/>
      <c r="P123" s="38">
        <f t="shared" si="17"/>
        <v>1554.6254099999996</v>
      </c>
      <c r="Q123" s="38">
        <f t="shared" si="17"/>
        <v>777.31270500000085</v>
      </c>
      <c r="R123" s="38">
        <f t="shared" si="17"/>
        <v>0</v>
      </c>
      <c r="U123" s="72"/>
      <c r="W123" s="1"/>
    </row>
    <row r="124" spans="2:23" ht="15" customHeight="1">
      <c r="G124" s="32"/>
      <c r="H124" s="32"/>
      <c r="I124" s="104"/>
      <c r="J124" s="76" t="s">
        <v>121</v>
      </c>
      <c r="K124" s="33" t="str">
        <f>+Legende!B17</f>
        <v>MTF</v>
      </c>
      <c r="L124" s="38">
        <f t="shared" si="16"/>
        <v>4773.6050000000005</v>
      </c>
      <c r="M124" s="38">
        <f t="shared" si="16"/>
        <v>4773.6050000000005</v>
      </c>
      <c r="N124" s="38">
        <f t="shared" si="16"/>
        <v>4773.6050000000005</v>
      </c>
      <c r="O124" s="38"/>
      <c r="P124" s="38">
        <f t="shared" si="17"/>
        <v>2792.5589250000007</v>
      </c>
      <c r="Q124" s="38">
        <f t="shared" si="17"/>
        <v>2482.2746000000002</v>
      </c>
      <c r="R124" s="38">
        <f t="shared" si="17"/>
        <v>2171.9902750000001</v>
      </c>
      <c r="U124" s="72"/>
      <c r="W124" s="1"/>
    </row>
    <row r="125" spans="2:23" ht="15" customHeight="1">
      <c r="G125" s="32"/>
      <c r="H125" s="32"/>
      <c r="I125" s="104"/>
      <c r="J125" s="76" t="s">
        <v>121</v>
      </c>
      <c r="K125" s="33" t="str">
        <f>+Legende!B18</f>
        <v>RW</v>
      </c>
      <c r="L125" s="38">
        <f t="shared" si="16"/>
        <v>1116.8120000000001</v>
      </c>
      <c r="M125" s="38">
        <f t="shared" si="16"/>
        <v>1116.8120000000001</v>
      </c>
      <c r="N125" s="38">
        <f t="shared" si="16"/>
        <v>1116.8120000000001</v>
      </c>
      <c r="O125" s="38"/>
      <c r="P125" s="38">
        <f t="shared" si="17"/>
        <v>653.3350200000001</v>
      </c>
      <c r="Q125" s="38">
        <f t="shared" si="17"/>
        <v>580.74224000000004</v>
      </c>
      <c r="R125" s="38">
        <f t="shared" si="17"/>
        <v>508.14946000000003</v>
      </c>
      <c r="S125" s="31"/>
      <c r="T125" s="31"/>
      <c r="U125" s="73"/>
      <c r="V125" s="31"/>
      <c r="W125" s="31"/>
    </row>
    <row r="126" spans="2:23" s="31" customFormat="1" ht="15" customHeight="1">
      <c r="B126" s="99"/>
      <c r="C126" s="102"/>
      <c r="G126" s="32"/>
      <c r="H126" s="32"/>
      <c r="I126" s="104"/>
      <c r="J126" s="76" t="s">
        <v>121</v>
      </c>
      <c r="K126" s="33" t="str">
        <f>+Legende!B19</f>
        <v>TM</v>
      </c>
      <c r="L126" s="38">
        <f t="shared" si="16"/>
        <v>19753.406500000001</v>
      </c>
      <c r="M126" s="38">
        <f t="shared" si="16"/>
        <v>19753.406500000001</v>
      </c>
      <c r="N126" s="38">
        <f t="shared" si="16"/>
        <v>19753.406500000001</v>
      </c>
      <c r="O126" s="38"/>
      <c r="P126" s="38">
        <f t="shared" si="17"/>
        <v>14123.685647500002</v>
      </c>
      <c r="Q126" s="38">
        <f t="shared" si="17"/>
        <v>12839.714225</v>
      </c>
      <c r="R126" s="38">
        <f t="shared" si="17"/>
        <v>11555.742802499999</v>
      </c>
      <c r="U126" s="73"/>
    </row>
    <row r="127" spans="2:23" s="31" customFormat="1" ht="15" customHeight="1">
      <c r="B127" s="99"/>
      <c r="C127" s="102"/>
      <c r="G127" s="32"/>
      <c r="H127" s="32"/>
      <c r="I127" s="104"/>
      <c r="J127" s="76" t="s">
        <v>121</v>
      </c>
      <c r="K127" s="33" t="str">
        <f>+Legende!B20</f>
        <v>WLF26</v>
      </c>
      <c r="L127" s="38">
        <f t="shared" si="16"/>
        <v>7167.4</v>
      </c>
      <c r="M127" s="38">
        <f t="shared" si="16"/>
        <v>7167.4</v>
      </c>
      <c r="N127" s="38">
        <f t="shared" si="16"/>
        <v>7167.4</v>
      </c>
      <c r="O127" s="38"/>
      <c r="P127" s="38">
        <f t="shared" si="17"/>
        <v>4192.9289999999992</v>
      </c>
      <c r="Q127" s="38">
        <f t="shared" si="17"/>
        <v>3727.0480000000002</v>
      </c>
      <c r="R127" s="38">
        <f t="shared" si="17"/>
        <v>3261.1669999999999</v>
      </c>
      <c r="S127" s="1"/>
      <c r="T127" s="1"/>
      <c r="U127" s="72"/>
      <c r="V127" s="1"/>
      <c r="W127" s="1"/>
    </row>
    <row r="128" spans="2:23" ht="15" customHeight="1">
      <c r="G128" s="34"/>
      <c r="H128" s="34"/>
      <c r="I128" s="105"/>
      <c r="J128" s="35"/>
      <c r="K128" s="36" t="s">
        <v>15</v>
      </c>
      <c r="L128" s="39">
        <f>SUM(L109:L127)</f>
        <v>248690.42010900006</v>
      </c>
      <c r="M128" s="39">
        <f>SUM(M109:M127)</f>
        <v>248396.49010900006</v>
      </c>
      <c r="N128" s="39">
        <f>SUM(N109:N127)</f>
        <v>236280.36185900006</v>
      </c>
      <c r="O128" s="38"/>
      <c r="P128" s="39">
        <f>SUM(P109:P127)</f>
        <v>445318.55382410472</v>
      </c>
      <c r="Q128" s="39">
        <f>SUM(Q109:Q127)</f>
        <v>429153.67651702004</v>
      </c>
      <c r="R128" s="39">
        <f>SUM(R109:R127)</f>
        <v>413007.90465993498</v>
      </c>
      <c r="U128" s="72"/>
      <c r="W128" s="1"/>
    </row>
    <row r="129" spans="7:18" ht="15" customHeight="1">
      <c r="G129" s="34"/>
      <c r="H129" s="34"/>
      <c r="I129" s="105"/>
      <c r="J129" s="35"/>
      <c r="K129" s="36" t="s">
        <v>83</v>
      </c>
      <c r="L129" s="77">
        <f>+L128-L105</f>
        <v>-174.53333333323826</v>
      </c>
      <c r="M129" s="77">
        <f>+M128-M105</f>
        <v>-174.53333333323826</v>
      </c>
      <c r="N129" s="77">
        <f>+N128-N105</f>
        <v>-174.53333333323826</v>
      </c>
      <c r="O129" s="38"/>
      <c r="P129" s="77">
        <f>+P128-P105</f>
        <v>-136.13600000011502</v>
      </c>
      <c r="Q129" s="77">
        <f>+Q128-Q105</f>
        <v>-124.7913333332981</v>
      </c>
      <c r="R129" s="77">
        <f>+R128-R105</f>
        <v>-113.44666666671401</v>
      </c>
    </row>
    <row r="130" spans="7:18">
      <c r="J130" s="29"/>
      <c r="K130" s="30"/>
      <c r="L130" s="1"/>
      <c r="M130" s="1"/>
      <c r="N130" s="1"/>
    </row>
    <row r="131" spans="7:18">
      <c r="J131" s="29"/>
      <c r="K131" s="30"/>
      <c r="L131" s="1"/>
      <c r="M131" s="1"/>
      <c r="N131" s="1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T2:T3">
      <formula1>"1,2"</formula1>
    </dataValidation>
  </dataValidations>
  <printOptions headings="1" gridLines="1"/>
  <pageMargins left="0.23622047244094491" right="0.23622047244094491" top="0.78740157480314965" bottom="0.59055118110236227" header="0.31496062992125984" footer="0.31496062992125984"/>
  <pageSetup paperSize="9" scale="51" fitToHeight="0" orientation="landscape" r:id="rId1"/>
  <headerFooter>
    <oddFooter>&amp;L&amp;A&amp;R&amp;P/&amp;N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Köstenträger oder Kostenstelle aus (s.h. Tabelle Legende)!">
          <x14:formula1>
            <xm:f>Legende!$B$2:$B$20</xm:f>
          </x14:formula1>
          <xm:sqref>K2:K103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48"/>
  <sheetViews>
    <sheetView topLeftCell="A28" zoomScaleNormal="100" workbookViewId="0">
      <selection activeCell="E31" sqref="E31"/>
    </sheetView>
  </sheetViews>
  <sheetFormatPr baseColWidth="10" defaultColWidth="9.28515625" defaultRowHeight="27" customHeight="1"/>
  <cols>
    <col min="1" max="1" width="3.5703125" style="2" bestFit="1" customWidth="1"/>
    <col min="2" max="2" width="7.42578125" style="2" bestFit="1" customWidth="1"/>
    <col min="3" max="3" width="43" style="2" customWidth="1"/>
    <col min="4" max="4" width="6.85546875" style="6" customWidth="1"/>
    <col min="5" max="5" width="12.140625" style="2" bestFit="1" customWidth="1"/>
    <col min="6" max="6" width="9.7109375" style="6" bestFit="1" customWidth="1"/>
    <col min="7" max="9" width="14.85546875" style="2" bestFit="1" customWidth="1"/>
    <col min="10" max="16384" width="9.28515625" style="2"/>
  </cols>
  <sheetData>
    <row r="1" spans="1:11" s="6" customFormat="1" ht="27" customHeight="1">
      <c r="A1" s="46" t="s">
        <v>0</v>
      </c>
      <c r="B1" s="47" t="s">
        <v>153</v>
      </c>
      <c r="C1" s="47" t="s">
        <v>9</v>
      </c>
      <c r="D1" s="47" t="s">
        <v>2</v>
      </c>
      <c r="E1" s="47">
        <v>2015</v>
      </c>
      <c r="F1" s="47" t="s">
        <v>82</v>
      </c>
      <c r="G1" s="47">
        <f>+Anlagen!L1</f>
        <v>2016</v>
      </c>
      <c r="H1" s="47">
        <f>+Anlagen!M1</f>
        <v>2017</v>
      </c>
      <c r="I1" s="47">
        <f>+Anlagen!N1</f>
        <v>2018</v>
      </c>
      <c r="J1" s="4"/>
    </row>
    <row r="2" spans="1:11" ht="27.6" customHeight="1">
      <c r="A2" s="178">
        <v>1</v>
      </c>
      <c r="B2" s="173" t="s">
        <v>144</v>
      </c>
      <c r="C2" s="174" t="s">
        <v>154</v>
      </c>
      <c r="D2" s="175">
        <v>0</v>
      </c>
      <c r="E2" s="176">
        <v>-727.6</v>
      </c>
      <c r="F2" s="40">
        <f>+VLOOKUP(D2,Indices!$C$2:$E$17,3,FALSE)</f>
        <v>0</v>
      </c>
      <c r="G2" s="48">
        <f>+$E2*(1+$F2)^(G$1-$E$1)</f>
        <v>-727.6</v>
      </c>
      <c r="H2" s="48">
        <f t="shared" ref="H2:I17" si="0">+$E2*(1+$F2)^(H$1-$E$1)</f>
        <v>-727.6</v>
      </c>
      <c r="I2" s="48">
        <f t="shared" si="0"/>
        <v>-727.6</v>
      </c>
    </row>
    <row r="3" spans="1:11" ht="31.15" customHeight="1">
      <c r="A3" s="178">
        <v>2</v>
      </c>
      <c r="B3" s="173" t="s">
        <v>145</v>
      </c>
      <c r="C3" s="174" t="s">
        <v>155</v>
      </c>
      <c r="D3" s="175">
        <v>0</v>
      </c>
      <c r="E3" s="176">
        <v>-3932.09</v>
      </c>
      <c r="F3" s="40">
        <f>+VLOOKUP(D3,Indices!$C$2:$E$17,3,FALSE)</f>
        <v>0</v>
      </c>
      <c r="G3" s="48">
        <f t="shared" ref="G3:I44" si="1">+$E3*(1+$F3)^(G$1-$E$1)</f>
        <v>-3932.09</v>
      </c>
      <c r="H3" s="48">
        <f t="shared" si="0"/>
        <v>-3932.09</v>
      </c>
      <c r="I3" s="48">
        <f t="shared" si="0"/>
        <v>-3932.09</v>
      </c>
    </row>
    <row r="4" spans="1:11" ht="27" customHeight="1">
      <c r="A4" s="178">
        <v>3</v>
      </c>
      <c r="B4" s="173" t="s">
        <v>146</v>
      </c>
      <c r="C4" s="174" t="s">
        <v>156</v>
      </c>
      <c r="D4" s="175">
        <v>0</v>
      </c>
      <c r="E4" s="176">
        <v>-39173.35</v>
      </c>
      <c r="F4" s="40">
        <f>+VLOOKUP(D4,Indices!$C$2:$E$17,3,FALSE)</f>
        <v>0</v>
      </c>
      <c r="G4" s="48">
        <f t="shared" si="1"/>
        <v>-39173.35</v>
      </c>
      <c r="H4" s="48">
        <f t="shared" si="0"/>
        <v>-39173.35</v>
      </c>
      <c r="I4" s="48">
        <f t="shared" si="0"/>
        <v>-39173.35</v>
      </c>
      <c r="K4" s="5"/>
    </row>
    <row r="5" spans="1:11" ht="27" customHeight="1">
      <c r="A5" s="178">
        <v>4</v>
      </c>
      <c r="B5" s="173" t="s">
        <v>147</v>
      </c>
      <c r="C5" s="174" t="s">
        <v>157</v>
      </c>
      <c r="D5" s="175">
        <v>0</v>
      </c>
      <c r="E5" s="176">
        <v>-37958.740000000005</v>
      </c>
      <c r="F5" s="40">
        <f>+VLOOKUP(D5,Indices!$C$2:$E$17,3,FALSE)</f>
        <v>0</v>
      </c>
      <c r="G5" s="48">
        <f t="shared" si="1"/>
        <v>-37958.740000000005</v>
      </c>
      <c r="H5" s="48">
        <f t="shared" si="0"/>
        <v>-37958.740000000005</v>
      </c>
      <c r="I5" s="48">
        <f t="shared" si="0"/>
        <v>-37958.740000000005</v>
      </c>
    </row>
    <row r="6" spans="1:11" ht="27" customHeight="1">
      <c r="A6" s="178">
        <v>5</v>
      </c>
      <c r="B6" s="173" t="s">
        <v>148</v>
      </c>
      <c r="C6" s="174" t="s">
        <v>158</v>
      </c>
      <c r="D6" s="175">
        <v>0</v>
      </c>
      <c r="E6" s="176">
        <v>-2045.2</v>
      </c>
      <c r="F6" s="40">
        <f>+VLOOKUP(D6,Indices!$C$2:$E$17,3,FALSE)</f>
        <v>0</v>
      </c>
      <c r="G6" s="48">
        <f t="shared" si="1"/>
        <v>-2045.2</v>
      </c>
      <c r="H6" s="48">
        <f t="shared" si="0"/>
        <v>-2045.2</v>
      </c>
      <c r="I6" s="48">
        <f t="shared" si="0"/>
        <v>-2045.2</v>
      </c>
    </row>
    <row r="7" spans="1:11" ht="27" customHeight="1">
      <c r="A7" s="178">
        <v>6</v>
      </c>
      <c r="B7" s="173" t="s">
        <v>149</v>
      </c>
      <c r="C7" s="174" t="s">
        <v>159</v>
      </c>
      <c r="D7" s="175">
        <v>0</v>
      </c>
      <c r="E7" s="176">
        <v>-979.67000000000007</v>
      </c>
      <c r="F7" s="40">
        <f>+VLOOKUP(D7,Indices!$C$2:$E$17,3,FALSE)</f>
        <v>0</v>
      </c>
      <c r="G7" s="48">
        <f t="shared" si="1"/>
        <v>-979.67000000000007</v>
      </c>
      <c r="H7" s="48">
        <f t="shared" si="0"/>
        <v>-979.67000000000007</v>
      </c>
      <c r="I7" s="48">
        <f t="shared" si="0"/>
        <v>-979.67000000000007</v>
      </c>
    </row>
    <row r="8" spans="1:11" ht="27" customHeight="1">
      <c r="A8" s="178">
        <v>7</v>
      </c>
      <c r="B8" s="173" t="s">
        <v>150</v>
      </c>
      <c r="C8" s="174" t="s">
        <v>160</v>
      </c>
      <c r="D8" s="175">
        <v>0</v>
      </c>
      <c r="E8" s="176">
        <v>-21504</v>
      </c>
      <c r="F8" s="40">
        <f>+VLOOKUP(D8,Indices!$C$2:$E$17,3,FALSE)</f>
        <v>0</v>
      </c>
      <c r="G8" s="48">
        <f t="shared" si="1"/>
        <v>-21504</v>
      </c>
      <c r="H8" s="48">
        <f t="shared" si="0"/>
        <v>-21504</v>
      </c>
      <c r="I8" s="48">
        <f t="shared" si="0"/>
        <v>-21504</v>
      </c>
    </row>
    <row r="9" spans="1:11" ht="27" customHeight="1">
      <c r="A9" s="178">
        <v>8</v>
      </c>
      <c r="B9" s="173" t="s">
        <v>151</v>
      </c>
      <c r="C9" s="174" t="s">
        <v>161</v>
      </c>
      <c r="D9" s="175">
        <v>0</v>
      </c>
      <c r="E9" s="176">
        <v>-18579.72</v>
      </c>
      <c r="F9" s="40">
        <f>+VLOOKUP(D9,Indices!$C$2:$E$17,3,FALSE)</f>
        <v>0</v>
      </c>
      <c r="G9" s="48">
        <f t="shared" si="1"/>
        <v>-18579.72</v>
      </c>
      <c r="H9" s="48">
        <f t="shared" si="0"/>
        <v>-18579.72</v>
      </c>
      <c r="I9" s="48">
        <f t="shared" si="0"/>
        <v>-18579.72</v>
      </c>
    </row>
    <row r="10" spans="1:11" ht="27" customHeight="1">
      <c r="A10" s="178">
        <v>9</v>
      </c>
      <c r="B10" s="173" t="s">
        <v>152</v>
      </c>
      <c r="C10" s="174" t="s">
        <v>162</v>
      </c>
      <c r="D10" s="177">
        <v>0</v>
      </c>
      <c r="E10" s="176">
        <v>-756</v>
      </c>
      <c r="F10" s="40">
        <f>+VLOOKUP(D10,Indices!$C$2:$E$17,3,FALSE)</f>
        <v>0</v>
      </c>
      <c r="G10" s="48">
        <f t="shared" si="1"/>
        <v>-756</v>
      </c>
      <c r="H10" s="48">
        <f t="shared" si="0"/>
        <v>-756</v>
      </c>
      <c r="I10" s="48">
        <f t="shared" si="0"/>
        <v>-756</v>
      </c>
    </row>
    <row r="11" spans="1:11" ht="27" customHeight="1">
      <c r="A11" s="178">
        <v>10</v>
      </c>
      <c r="B11" s="173" t="s">
        <v>163</v>
      </c>
      <c r="C11" s="174" t="s">
        <v>196</v>
      </c>
      <c r="D11" s="177" t="s">
        <v>116</v>
      </c>
      <c r="E11" s="176">
        <v>1091983.51</v>
      </c>
      <c r="F11" s="40">
        <f>+VLOOKUP(D11,Indices!$C$2:$E$17,3,FALSE)</f>
        <v>2.75E-2</v>
      </c>
      <c r="G11" s="48">
        <f t="shared" si="1"/>
        <v>1122013.0565250001</v>
      </c>
      <c r="H11" s="48">
        <f t="shared" si="0"/>
        <v>1152868.4155794377</v>
      </c>
      <c r="I11" s="48">
        <f t="shared" si="0"/>
        <v>1184572.2970078723</v>
      </c>
    </row>
    <row r="12" spans="1:11" ht="27" customHeight="1">
      <c r="A12" s="178">
        <v>11</v>
      </c>
      <c r="B12" s="173" t="s">
        <v>164</v>
      </c>
      <c r="C12" s="174" t="s">
        <v>197</v>
      </c>
      <c r="D12" s="177" t="s">
        <v>116</v>
      </c>
      <c r="E12" s="176">
        <v>28608.720000000001</v>
      </c>
      <c r="F12" s="40">
        <f>+VLOOKUP(D12,Indices!$C$2:$E$17,3,FALSE)</f>
        <v>2.75E-2</v>
      </c>
      <c r="G12" s="48">
        <f t="shared" si="1"/>
        <v>29395.459800000004</v>
      </c>
      <c r="H12" s="48">
        <f t="shared" si="0"/>
        <v>30203.834944500006</v>
      </c>
      <c r="I12" s="48">
        <f t="shared" si="0"/>
        <v>31034.440405473757</v>
      </c>
    </row>
    <row r="13" spans="1:11" ht="27" customHeight="1">
      <c r="A13" s="178">
        <v>12</v>
      </c>
      <c r="B13" s="173" t="s">
        <v>165</v>
      </c>
      <c r="C13" s="174" t="s">
        <v>198</v>
      </c>
      <c r="D13" s="177" t="s">
        <v>116</v>
      </c>
      <c r="E13" s="176">
        <v>-145600.28</v>
      </c>
      <c r="F13" s="40">
        <v>0</v>
      </c>
      <c r="G13" s="48">
        <f t="shared" si="1"/>
        <v>-145600.28</v>
      </c>
      <c r="H13" s="48">
        <f t="shared" si="0"/>
        <v>-145600.28</v>
      </c>
      <c r="I13" s="48">
        <f t="shared" si="0"/>
        <v>-145600.28</v>
      </c>
    </row>
    <row r="14" spans="1:11" ht="27" customHeight="1">
      <c r="A14" s="178">
        <v>13</v>
      </c>
      <c r="B14" s="173" t="s">
        <v>166</v>
      </c>
      <c r="C14" s="174" t="s">
        <v>199</v>
      </c>
      <c r="D14" s="177" t="s">
        <v>116</v>
      </c>
      <c r="E14" s="176">
        <v>2142.41</v>
      </c>
      <c r="F14" s="40">
        <f>+VLOOKUP(D14,Indices!$C$2:$E$17,3,FALSE)</f>
        <v>2.75E-2</v>
      </c>
      <c r="G14" s="48">
        <f t="shared" si="1"/>
        <v>2201.3262749999999</v>
      </c>
      <c r="H14" s="48">
        <f t="shared" si="0"/>
        <v>2261.8627475625003</v>
      </c>
      <c r="I14" s="48">
        <f t="shared" si="0"/>
        <v>2324.0639731204687</v>
      </c>
    </row>
    <row r="15" spans="1:11" ht="27" customHeight="1">
      <c r="A15" s="178">
        <v>14</v>
      </c>
      <c r="B15" s="173" t="s">
        <v>167</v>
      </c>
      <c r="C15" s="174" t="s">
        <v>200</v>
      </c>
      <c r="D15" s="177" t="s">
        <v>116</v>
      </c>
      <c r="E15" s="176">
        <v>5493.09</v>
      </c>
      <c r="F15" s="40">
        <f>+VLOOKUP(D15,Indices!$C$2:$E$17,3,FALSE)</f>
        <v>2.75E-2</v>
      </c>
      <c r="G15" s="48">
        <f t="shared" si="1"/>
        <v>5644.1499750000003</v>
      </c>
      <c r="H15" s="48">
        <f t="shared" si="0"/>
        <v>5799.3640993125009</v>
      </c>
      <c r="I15" s="48">
        <f t="shared" si="0"/>
        <v>5958.8466120435951</v>
      </c>
    </row>
    <row r="16" spans="1:11" ht="27" customHeight="1">
      <c r="A16" s="178">
        <v>15</v>
      </c>
      <c r="B16" s="173" t="s">
        <v>168</v>
      </c>
      <c r="C16" s="174" t="s">
        <v>201</v>
      </c>
      <c r="D16" s="177" t="s">
        <v>116</v>
      </c>
      <c r="E16" s="176">
        <v>72103.51999999999</v>
      </c>
      <c r="F16" s="40">
        <f>+VLOOKUP(D16,Indices!$C$2:$E$17,3,FALSE)</f>
        <v>2.75E-2</v>
      </c>
      <c r="G16" s="48">
        <f t="shared" si="1"/>
        <v>74086.366799999989</v>
      </c>
      <c r="H16" s="48">
        <f t="shared" si="0"/>
        <v>76123.741886999996</v>
      </c>
      <c r="I16" s="48">
        <f t="shared" si="0"/>
        <v>78217.144788892503</v>
      </c>
    </row>
    <row r="17" spans="1:9" ht="27" customHeight="1">
      <c r="A17" s="178">
        <v>16</v>
      </c>
      <c r="B17" s="173" t="s">
        <v>169</v>
      </c>
      <c r="C17" s="174" t="s">
        <v>202</v>
      </c>
      <c r="D17" s="177" t="s">
        <v>116</v>
      </c>
      <c r="E17" s="176">
        <v>268725</v>
      </c>
      <c r="F17" s="40">
        <f>+VLOOKUP(D17,Indices!$C$2:$E$17,3,FALSE)</f>
        <v>2.75E-2</v>
      </c>
      <c r="G17" s="48">
        <f t="shared" si="1"/>
        <v>276114.9375</v>
      </c>
      <c r="H17" s="48">
        <f t="shared" si="0"/>
        <v>283708.09828125004</v>
      </c>
      <c r="I17" s="48">
        <f t="shared" si="0"/>
        <v>291510.07098398445</v>
      </c>
    </row>
    <row r="18" spans="1:9" ht="27" customHeight="1">
      <c r="A18" s="178">
        <v>17</v>
      </c>
      <c r="B18" s="173" t="s">
        <v>170</v>
      </c>
      <c r="C18" s="174" t="s">
        <v>203</v>
      </c>
      <c r="D18" s="177" t="s">
        <v>116</v>
      </c>
      <c r="E18" s="176">
        <v>92128</v>
      </c>
      <c r="F18" s="40">
        <f>+VLOOKUP(D18,Indices!$C$2:$E$17,3,FALSE)</f>
        <v>2.75E-2</v>
      </c>
      <c r="G18" s="48">
        <f t="shared" si="1"/>
        <v>94661.52</v>
      </c>
      <c r="H18" s="48">
        <f t="shared" si="1"/>
        <v>97264.711800000019</v>
      </c>
      <c r="I18" s="48">
        <f t="shared" si="1"/>
        <v>99939.491374500023</v>
      </c>
    </row>
    <row r="19" spans="1:9" ht="24.6" customHeight="1">
      <c r="A19" s="178">
        <v>18</v>
      </c>
      <c r="B19" s="173" t="s">
        <v>171</v>
      </c>
      <c r="C19" s="174" t="s">
        <v>204</v>
      </c>
      <c r="D19" s="177" t="s">
        <v>226</v>
      </c>
      <c r="E19" s="176">
        <v>73234.069999999992</v>
      </c>
      <c r="F19" s="40">
        <f>+VLOOKUP(D19,Indices!$C$2:$E$17,3,FALSE)</f>
        <v>2.75E-2</v>
      </c>
      <c r="G19" s="48">
        <f t="shared" si="1"/>
        <v>75248.006924999994</v>
      </c>
      <c r="H19" s="48">
        <f t="shared" si="1"/>
        <v>77317.327115437511</v>
      </c>
      <c r="I19" s="48">
        <f t="shared" si="1"/>
        <v>79443.553611112031</v>
      </c>
    </row>
    <row r="20" spans="1:9" ht="27" customHeight="1">
      <c r="A20" s="178">
        <v>19</v>
      </c>
      <c r="B20" s="173" t="s">
        <v>172</v>
      </c>
      <c r="C20" s="174" t="s">
        <v>205</v>
      </c>
      <c r="D20" s="177" t="s">
        <v>115</v>
      </c>
      <c r="E20" s="176">
        <v>166.35</v>
      </c>
      <c r="F20" s="40">
        <f>+VLOOKUP(D20,Indices!$C$2:$E$17,3,FALSE)</f>
        <v>1.5000000000000001E-2</v>
      </c>
      <c r="G20" s="48">
        <f t="shared" si="1"/>
        <v>168.84524999999996</v>
      </c>
      <c r="H20" s="48">
        <f t="shared" si="1"/>
        <v>171.37792874999994</v>
      </c>
      <c r="I20" s="48">
        <f t="shared" si="1"/>
        <v>173.94859768124994</v>
      </c>
    </row>
    <row r="21" spans="1:9" ht="27" customHeight="1">
      <c r="A21" s="178">
        <v>20</v>
      </c>
      <c r="B21" s="173" t="s">
        <v>173</v>
      </c>
      <c r="C21" s="174" t="s">
        <v>206</v>
      </c>
      <c r="D21" s="177" t="s">
        <v>119</v>
      </c>
      <c r="E21" s="176">
        <v>18303.2</v>
      </c>
      <c r="F21" s="40">
        <f>+VLOOKUP(D21,Indices!$C$2:$E$17,3,FALSE)</f>
        <v>1.7499999999999998E-2</v>
      </c>
      <c r="G21" s="48">
        <f t="shared" si="1"/>
        <v>18623.506000000001</v>
      </c>
      <c r="H21" s="48">
        <f t="shared" si="1"/>
        <v>18949.417355000001</v>
      </c>
      <c r="I21" s="48">
        <f t="shared" si="1"/>
        <v>19281.032158712504</v>
      </c>
    </row>
    <row r="22" spans="1:9" ht="27" customHeight="1">
      <c r="A22" s="178">
        <v>21</v>
      </c>
      <c r="B22" s="173" t="s">
        <v>174</v>
      </c>
      <c r="C22" s="174" t="s">
        <v>207</v>
      </c>
      <c r="D22" s="177">
        <v>0</v>
      </c>
      <c r="E22" s="176">
        <v>866.08999999999992</v>
      </c>
      <c r="F22" s="40">
        <f>+VLOOKUP(D22,Indices!$C$2:$E$17,3,FALSE)</f>
        <v>0</v>
      </c>
      <c r="G22" s="48">
        <f t="shared" si="1"/>
        <v>866.08999999999992</v>
      </c>
      <c r="H22" s="48">
        <f t="shared" si="1"/>
        <v>866.08999999999992</v>
      </c>
      <c r="I22" s="48">
        <f t="shared" si="1"/>
        <v>866.08999999999992</v>
      </c>
    </row>
    <row r="23" spans="1:9" ht="27" customHeight="1">
      <c r="A23" s="178">
        <v>22</v>
      </c>
      <c r="B23" s="173" t="s">
        <v>175</v>
      </c>
      <c r="C23" s="174" t="s">
        <v>208</v>
      </c>
      <c r="D23" s="177">
        <v>0</v>
      </c>
      <c r="E23" s="176">
        <v>6468.54</v>
      </c>
      <c r="F23" s="40">
        <f>+VLOOKUP(D23,Indices!$C$2:$E$17,3,FALSE)</f>
        <v>0</v>
      </c>
      <c r="G23" s="48">
        <f t="shared" si="1"/>
        <v>6468.54</v>
      </c>
      <c r="H23" s="48">
        <f t="shared" si="1"/>
        <v>6468.54</v>
      </c>
      <c r="I23" s="48">
        <f t="shared" si="1"/>
        <v>6468.54</v>
      </c>
    </row>
    <row r="24" spans="1:9" ht="27" customHeight="1">
      <c r="A24" s="178">
        <v>23</v>
      </c>
      <c r="B24" s="173" t="s">
        <v>176</v>
      </c>
      <c r="C24" s="174" t="s">
        <v>209</v>
      </c>
      <c r="D24" s="177" t="s">
        <v>119</v>
      </c>
      <c r="E24" s="176">
        <v>3012.92</v>
      </c>
      <c r="F24" s="40">
        <f>+VLOOKUP(D24,Indices!$C$2:$E$17,3,FALSE)</f>
        <v>1.7499999999999998E-2</v>
      </c>
      <c r="G24" s="48">
        <f t="shared" si="1"/>
        <v>3065.6461000000004</v>
      </c>
      <c r="H24" s="48">
        <f t="shared" si="1"/>
        <v>3119.2949067500003</v>
      </c>
      <c r="I24" s="48">
        <f t="shared" si="1"/>
        <v>3173.8825676181254</v>
      </c>
    </row>
    <row r="25" spans="1:9" ht="27" customHeight="1">
      <c r="A25" s="178">
        <v>24</v>
      </c>
      <c r="B25" s="173" t="s">
        <v>177</v>
      </c>
      <c r="C25" s="174" t="s">
        <v>210</v>
      </c>
      <c r="D25" s="177" t="s">
        <v>115</v>
      </c>
      <c r="E25" s="176">
        <v>25064.170000000002</v>
      </c>
      <c r="F25" s="40">
        <f>+VLOOKUP(D25,Indices!$C$2:$E$17,3,FALSE)</f>
        <v>1.5000000000000001E-2</v>
      </c>
      <c r="G25" s="48">
        <f t="shared" si="1"/>
        <v>25440.132549999998</v>
      </c>
      <c r="H25" s="48">
        <f t="shared" si="1"/>
        <v>25821.734538249995</v>
      </c>
      <c r="I25" s="48">
        <f t="shared" si="1"/>
        <v>26209.06055632374</v>
      </c>
    </row>
    <row r="26" spans="1:9" ht="27" customHeight="1">
      <c r="A26" s="178">
        <v>25</v>
      </c>
      <c r="B26" s="173" t="s">
        <v>178</v>
      </c>
      <c r="C26" s="174" t="s">
        <v>211</v>
      </c>
      <c r="D26" s="177">
        <v>0</v>
      </c>
      <c r="E26" s="176">
        <v>4818.54</v>
      </c>
      <c r="F26" s="40">
        <f>+VLOOKUP(D26,Indices!$C$2:$E$17,3,FALSE)</f>
        <v>0</v>
      </c>
      <c r="G26" s="48">
        <f t="shared" si="1"/>
        <v>4818.54</v>
      </c>
      <c r="H26" s="48">
        <f t="shared" si="1"/>
        <v>4818.54</v>
      </c>
      <c r="I26" s="48">
        <f t="shared" si="1"/>
        <v>4818.54</v>
      </c>
    </row>
    <row r="27" spans="1:9" ht="27" customHeight="1">
      <c r="A27" s="178">
        <v>26</v>
      </c>
      <c r="B27" s="173" t="s">
        <v>179</v>
      </c>
      <c r="C27" s="174" t="s">
        <v>212</v>
      </c>
      <c r="D27" s="177" t="s">
        <v>118</v>
      </c>
      <c r="E27" s="176">
        <v>28460.15</v>
      </c>
      <c r="F27" s="40">
        <f>+VLOOKUP(D27,Indices!$C$2:$E$17,3,FALSE)</f>
        <v>4.7500000000000001E-2</v>
      </c>
      <c r="G27" s="48">
        <f t="shared" si="1"/>
        <v>29812.007125000004</v>
      </c>
      <c r="H27" s="48">
        <f t="shared" si="1"/>
        <v>31228.077463437508</v>
      </c>
      <c r="I27" s="48">
        <f t="shared" si="1"/>
        <v>32711.411142950794</v>
      </c>
    </row>
    <row r="28" spans="1:9" ht="27" customHeight="1">
      <c r="A28" s="178">
        <v>27</v>
      </c>
      <c r="B28" s="173" t="s">
        <v>180</v>
      </c>
      <c r="C28" s="174" t="s">
        <v>213</v>
      </c>
      <c r="D28" s="177" t="s">
        <v>117</v>
      </c>
      <c r="E28" s="176">
        <v>22665.7</v>
      </c>
      <c r="F28" s="40">
        <f>+VLOOKUP(D28,Indices!$C$2:$E$17,3,FALSE)</f>
        <v>0.02</v>
      </c>
      <c r="G28" s="48">
        <f t="shared" si="1"/>
        <v>23119.014000000003</v>
      </c>
      <c r="H28" s="48">
        <f t="shared" si="1"/>
        <v>23581.39428</v>
      </c>
      <c r="I28" s="48">
        <f t="shared" si="1"/>
        <v>24053.022165599999</v>
      </c>
    </row>
    <row r="29" spans="1:9" ht="27" customHeight="1">
      <c r="A29" s="178">
        <v>28</v>
      </c>
      <c r="B29" s="173" t="s">
        <v>181</v>
      </c>
      <c r="C29" s="174" t="s">
        <v>214</v>
      </c>
      <c r="D29" s="177" t="s">
        <v>119</v>
      </c>
      <c r="E29" s="176">
        <v>1604.83</v>
      </c>
      <c r="F29" s="40">
        <f>+VLOOKUP(D29,Indices!$C$2:$E$17,3,FALSE)</f>
        <v>1.7499999999999998E-2</v>
      </c>
      <c r="G29" s="48">
        <f t="shared" si="1"/>
        <v>1632.9145250000001</v>
      </c>
      <c r="H29" s="48">
        <f t="shared" si="1"/>
        <v>1661.4905291875</v>
      </c>
      <c r="I29" s="48">
        <f t="shared" si="1"/>
        <v>1690.5666134482813</v>
      </c>
    </row>
    <row r="30" spans="1:9" ht="27" customHeight="1">
      <c r="A30" s="178">
        <v>29</v>
      </c>
      <c r="B30" s="173" t="s">
        <v>182</v>
      </c>
      <c r="C30" s="174" t="s">
        <v>506</v>
      </c>
      <c r="D30" s="177">
        <v>0</v>
      </c>
      <c r="E30" s="176">
        <f>36.4+30.5+63.84+11.9+207.15</f>
        <v>349.79</v>
      </c>
      <c r="F30" s="40">
        <f>+VLOOKUP(D30,Indices!$C$2:$E$17,3,FALSE)</f>
        <v>0</v>
      </c>
      <c r="G30" s="48">
        <f t="shared" si="1"/>
        <v>349.79</v>
      </c>
      <c r="H30" s="48">
        <f t="shared" si="1"/>
        <v>349.79</v>
      </c>
      <c r="I30" s="48">
        <f t="shared" si="1"/>
        <v>349.79</v>
      </c>
    </row>
    <row r="31" spans="1:9" ht="27" customHeight="1">
      <c r="A31" s="178">
        <v>30</v>
      </c>
      <c r="B31" s="173" t="s">
        <v>183</v>
      </c>
      <c r="C31" s="174" t="s">
        <v>507</v>
      </c>
      <c r="D31" s="177" t="s">
        <v>228</v>
      </c>
      <c r="E31" s="176">
        <f>555.24+'Korrektur Dieselkosten'!C14</f>
        <v>6043.8003587639951</v>
      </c>
      <c r="F31" s="40">
        <f>+VLOOKUP(D31,Indices!$C$2:$E$17,3,FALSE)</f>
        <v>0</v>
      </c>
      <c r="G31" s="48">
        <f t="shared" si="1"/>
        <v>6043.8003587639951</v>
      </c>
      <c r="H31" s="48">
        <f t="shared" si="1"/>
        <v>6043.8003587639951</v>
      </c>
      <c r="I31" s="48">
        <f t="shared" si="1"/>
        <v>6043.8003587639951</v>
      </c>
    </row>
    <row r="32" spans="1:9" ht="27" customHeight="1">
      <c r="A32" s="178">
        <v>31</v>
      </c>
      <c r="B32" s="173" t="s">
        <v>184</v>
      </c>
      <c r="C32" s="174" t="s">
        <v>508</v>
      </c>
      <c r="D32" s="177">
        <v>0</v>
      </c>
      <c r="E32" s="176">
        <f>11.54+21.52-0.1+73.52</f>
        <v>106.47999999999999</v>
      </c>
      <c r="F32" s="40">
        <f>+VLOOKUP(D32,Indices!$C$2:$E$17,3,FALSE)</f>
        <v>0</v>
      </c>
      <c r="G32" s="48">
        <f t="shared" si="1"/>
        <v>106.47999999999999</v>
      </c>
      <c r="H32" s="48">
        <f t="shared" si="1"/>
        <v>106.47999999999999</v>
      </c>
      <c r="I32" s="48">
        <f t="shared" si="1"/>
        <v>106.47999999999999</v>
      </c>
    </row>
    <row r="33" spans="1:9" ht="27" customHeight="1">
      <c r="A33" s="178">
        <v>32</v>
      </c>
      <c r="B33" s="173" t="s">
        <v>185</v>
      </c>
      <c r="C33" s="174" t="s">
        <v>215</v>
      </c>
      <c r="D33" s="177" t="s">
        <v>115</v>
      </c>
      <c r="E33" s="176">
        <v>19675.920000000002</v>
      </c>
      <c r="F33" s="40">
        <f>+VLOOKUP(D33,Indices!$C$2:$E$17,3,FALSE)</f>
        <v>1.5000000000000001E-2</v>
      </c>
      <c r="G33" s="48">
        <f t="shared" si="1"/>
        <v>19971.058799999999</v>
      </c>
      <c r="H33" s="48">
        <f t="shared" si="1"/>
        <v>20270.624681999998</v>
      </c>
      <c r="I33" s="48">
        <f t="shared" si="1"/>
        <v>20574.684052229994</v>
      </c>
    </row>
    <row r="34" spans="1:9" ht="27" customHeight="1">
      <c r="A34" s="178">
        <v>33</v>
      </c>
      <c r="B34" s="173" t="s">
        <v>186</v>
      </c>
      <c r="C34" s="174" t="s">
        <v>216</v>
      </c>
      <c r="D34" s="177">
        <v>0</v>
      </c>
      <c r="E34" s="176">
        <v>689.41000000000008</v>
      </c>
      <c r="F34" s="40">
        <f>+VLOOKUP(D34,Indices!$C$2:$E$17,3,FALSE)</f>
        <v>0</v>
      </c>
      <c r="G34" s="48">
        <f t="shared" si="1"/>
        <v>689.41000000000008</v>
      </c>
      <c r="H34" s="48">
        <f t="shared" si="1"/>
        <v>689.41000000000008</v>
      </c>
      <c r="I34" s="48">
        <f t="shared" si="1"/>
        <v>689.41000000000008</v>
      </c>
    </row>
    <row r="35" spans="1:9" ht="27" customHeight="1">
      <c r="A35" s="178">
        <v>34</v>
      </c>
      <c r="B35" s="173" t="s">
        <v>187</v>
      </c>
      <c r="C35" s="174" t="s">
        <v>217</v>
      </c>
      <c r="D35" s="177" t="s">
        <v>115</v>
      </c>
      <c r="E35" s="176">
        <v>17614.14</v>
      </c>
      <c r="F35" s="40">
        <f>+VLOOKUP(D35,Indices!$C$2:$E$17,3,FALSE)</f>
        <v>1.5000000000000001E-2</v>
      </c>
      <c r="G35" s="48">
        <f t="shared" si="1"/>
        <v>17878.352099999996</v>
      </c>
      <c r="H35" s="48">
        <f t="shared" si="1"/>
        <v>18146.527381499993</v>
      </c>
      <c r="I35" s="48">
        <f t="shared" si="1"/>
        <v>18418.725292222491</v>
      </c>
    </row>
    <row r="36" spans="1:9" ht="27" customHeight="1">
      <c r="A36" s="178">
        <v>35</v>
      </c>
      <c r="B36" s="173" t="s">
        <v>188</v>
      </c>
      <c r="C36" s="174" t="s">
        <v>218</v>
      </c>
      <c r="D36" s="177">
        <v>0</v>
      </c>
      <c r="E36" s="176">
        <v>1485.72</v>
      </c>
      <c r="F36" s="40">
        <f>+VLOOKUP(D36,Indices!$C$2:$E$17,3,FALSE)</f>
        <v>0</v>
      </c>
      <c r="G36" s="48">
        <f t="shared" si="1"/>
        <v>1485.72</v>
      </c>
      <c r="H36" s="48">
        <f t="shared" si="1"/>
        <v>1485.72</v>
      </c>
      <c r="I36" s="48">
        <f t="shared" si="1"/>
        <v>1485.72</v>
      </c>
    </row>
    <row r="37" spans="1:9" ht="27" customHeight="1">
      <c r="A37" s="178">
        <v>36</v>
      </c>
      <c r="B37" s="173" t="s">
        <v>189</v>
      </c>
      <c r="C37" s="174" t="s">
        <v>219</v>
      </c>
      <c r="D37" s="177">
        <v>0</v>
      </c>
      <c r="E37" s="176">
        <v>3338.04</v>
      </c>
      <c r="F37" s="40">
        <f>+VLOOKUP(D37,Indices!$C$2:$E$17,3,FALSE)</f>
        <v>0</v>
      </c>
      <c r="G37" s="48">
        <f t="shared" si="1"/>
        <v>3338.04</v>
      </c>
      <c r="H37" s="48">
        <f t="shared" si="1"/>
        <v>3338.04</v>
      </c>
      <c r="I37" s="48">
        <f t="shared" si="1"/>
        <v>3338.04</v>
      </c>
    </row>
    <row r="38" spans="1:9" ht="27" customHeight="1">
      <c r="A38" s="178">
        <v>37</v>
      </c>
      <c r="B38" s="173" t="s">
        <v>190</v>
      </c>
      <c r="C38" s="174" t="s">
        <v>220</v>
      </c>
      <c r="D38" s="177">
        <v>0</v>
      </c>
      <c r="E38" s="176">
        <v>3600</v>
      </c>
      <c r="F38" s="40">
        <f>+VLOOKUP(D38,Indices!$C$2:$E$17,3,FALSE)</f>
        <v>0</v>
      </c>
      <c r="G38" s="48">
        <f t="shared" si="1"/>
        <v>3600</v>
      </c>
      <c r="H38" s="48">
        <f t="shared" si="1"/>
        <v>3600</v>
      </c>
      <c r="I38" s="48">
        <f t="shared" si="1"/>
        <v>3600</v>
      </c>
    </row>
    <row r="39" spans="1:9" ht="27" customHeight="1">
      <c r="A39" s="178">
        <v>38</v>
      </c>
      <c r="B39" s="173" t="s">
        <v>191</v>
      </c>
      <c r="C39" s="174" t="s">
        <v>221</v>
      </c>
      <c r="D39" s="177" t="s">
        <v>229</v>
      </c>
      <c r="E39" s="176">
        <v>17505.439999999999</v>
      </c>
      <c r="F39" s="40">
        <f>+VLOOKUP(D39,Indices!$C$2:$E$17,3,FALSE)</f>
        <v>0</v>
      </c>
      <c r="G39" s="48">
        <f t="shared" si="1"/>
        <v>17505.439999999999</v>
      </c>
      <c r="H39" s="48">
        <f t="shared" si="1"/>
        <v>17505.439999999999</v>
      </c>
      <c r="I39" s="48">
        <f t="shared" si="1"/>
        <v>17505.439999999999</v>
      </c>
    </row>
    <row r="40" spans="1:9" ht="27" customHeight="1">
      <c r="A40" s="178">
        <v>39</v>
      </c>
      <c r="B40" s="173" t="s">
        <v>192</v>
      </c>
      <c r="C40" s="174" t="s">
        <v>222</v>
      </c>
      <c r="D40" s="177" t="s">
        <v>115</v>
      </c>
      <c r="E40" s="176">
        <v>39818.520000000004</v>
      </c>
      <c r="F40" s="40">
        <f>+VLOOKUP(D40,Indices!$C$2:$E$17,3,FALSE)</f>
        <v>1.5000000000000001E-2</v>
      </c>
      <c r="G40" s="48">
        <f t="shared" si="1"/>
        <v>40415.7978</v>
      </c>
      <c r="H40" s="48">
        <f t="shared" si="1"/>
        <v>41022.03476699999</v>
      </c>
      <c r="I40" s="48">
        <f t="shared" si="1"/>
        <v>41637.365288504989</v>
      </c>
    </row>
    <row r="41" spans="1:9" ht="27" customHeight="1">
      <c r="A41" s="178">
        <v>40</v>
      </c>
      <c r="B41" s="173" t="s">
        <v>193</v>
      </c>
      <c r="C41" s="174" t="s">
        <v>223</v>
      </c>
      <c r="D41" s="177">
        <v>0</v>
      </c>
      <c r="E41" s="176">
        <v>18385.010000000002</v>
      </c>
      <c r="F41" s="40">
        <f>+VLOOKUP(D41,Indices!$C$2:$E$17,3,FALSE)</f>
        <v>0</v>
      </c>
      <c r="G41" s="48">
        <f t="shared" si="1"/>
        <v>18385.010000000002</v>
      </c>
      <c r="H41" s="48">
        <f t="shared" si="1"/>
        <v>18385.010000000002</v>
      </c>
      <c r="I41" s="48">
        <f t="shared" si="1"/>
        <v>18385.010000000002</v>
      </c>
    </row>
    <row r="42" spans="1:9" ht="27" customHeight="1">
      <c r="A42" s="178">
        <v>41</v>
      </c>
      <c r="B42" s="173" t="s">
        <v>194</v>
      </c>
      <c r="C42" s="174" t="s">
        <v>224</v>
      </c>
      <c r="D42" s="177">
        <v>0</v>
      </c>
      <c r="E42" s="176">
        <v>389627.33999999997</v>
      </c>
      <c r="F42" s="40">
        <f>+VLOOKUP(D42,Indices!$C$2:$E$17,3,FALSE)</f>
        <v>0</v>
      </c>
      <c r="G42" s="48">
        <f t="shared" si="1"/>
        <v>389627.33999999997</v>
      </c>
      <c r="H42" s="48">
        <f t="shared" si="1"/>
        <v>389627.33999999997</v>
      </c>
      <c r="I42" s="48">
        <f t="shared" si="1"/>
        <v>389627.33999999997</v>
      </c>
    </row>
    <row r="43" spans="1:9" ht="27" customHeight="1">
      <c r="A43" s="178">
        <v>42</v>
      </c>
      <c r="B43" s="173"/>
      <c r="C43" s="174" t="s">
        <v>460</v>
      </c>
      <c r="D43" s="177">
        <v>0</v>
      </c>
      <c r="E43" s="176"/>
      <c r="F43" s="40">
        <f>+VLOOKUP(D43,Indices!$C$2:$E$17,3,FALSE)</f>
        <v>0</v>
      </c>
      <c r="G43" s="48">
        <f>+HLOOKUP(G$1,'Berechnung Personal'!$K$18:$O$22,5,FALSE)</f>
        <v>74485.708124039083</v>
      </c>
      <c r="H43" s="48">
        <f>+HLOOKUP(H$1,'Berechnung Personal'!$K$18:$O$22,5,FALSE)</f>
        <v>75900.93657839582</v>
      </c>
      <c r="I43" s="48">
        <f>+HLOOKUP(I$1,'Berechnung Personal'!$K$18:$O$22,5,FALSE)</f>
        <v>77343.054373385341</v>
      </c>
    </row>
    <row r="44" spans="1:9" ht="27" customHeight="1">
      <c r="A44" s="178">
        <v>43</v>
      </c>
      <c r="B44" s="173" t="s">
        <v>195</v>
      </c>
      <c r="C44" s="174" t="s">
        <v>225</v>
      </c>
      <c r="D44" s="177">
        <v>0</v>
      </c>
      <c r="E44" s="176">
        <v>1183.47</v>
      </c>
      <c r="F44" s="40">
        <f>+VLOOKUP(D44,Indices!$C$2:$E$17,3,FALSE)</f>
        <v>0</v>
      </c>
      <c r="G44" s="48">
        <f t="shared" si="1"/>
        <v>1183.47</v>
      </c>
      <c r="H44" s="48">
        <f t="shared" si="1"/>
        <v>1183.47</v>
      </c>
      <c r="I44" s="48">
        <f t="shared" si="1"/>
        <v>1183.47</v>
      </c>
    </row>
    <row r="45" spans="1:9" s="45" customFormat="1" ht="27" customHeight="1">
      <c r="A45" s="49"/>
      <c r="B45" s="49"/>
      <c r="C45" s="49"/>
      <c r="D45" s="50"/>
      <c r="E45" s="49"/>
      <c r="F45" s="202" t="s">
        <v>15</v>
      </c>
      <c r="G45" s="83">
        <f>SUM(G2:G44)</f>
        <v>2117188.8265328035</v>
      </c>
      <c r="H45" s="83">
        <f>SUM(H2:H44)</f>
        <v>2168631.2872235347</v>
      </c>
      <c r="I45" s="83">
        <f>SUM(I2:I44)</f>
        <v>2221477.6819244409</v>
      </c>
    </row>
    <row r="46" spans="1:9" ht="27" customHeight="1">
      <c r="A46" s="201" t="s">
        <v>432</v>
      </c>
      <c r="B46" s="218" t="s">
        <v>227</v>
      </c>
      <c r="C46" s="218"/>
      <c r="D46" s="218"/>
      <c r="E46" s="218"/>
      <c r="F46" s="218"/>
      <c r="G46" s="218"/>
      <c r="H46" s="218"/>
      <c r="I46" s="218"/>
    </row>
    <row r="47" spans="1:9" ht="27" customHeight="1">
      <c r="A47" s="201" t="s">
        <v>433</v>
      </c>
      <c r="B47" s="217" t="s">
        <v>446</v>
      </c>
      <c r="C47" s="217"/>
      <c r="D47" s="217"/>
      <c r="E47" s="217"/>
      <c r="F47" s="217"/>
      <c r="G47" s="217"/>
      <c r="H47" s="217"/>
      <c r="I47" s="217"/>
    </row>
    <row r="48" spans="1:9" ht="27" customHeight="1">
      <c r="A48" s="201" t="s">
        <v>434</v>
      </c>
      <c r="B48" s="217" t="s">
        <v>227</v>
      </c>
      <c r="C48" s="217"/>
      <c r="D48" s="217"/>
      <c r="E48" s="217"/>
      <c r="F48" s="217"/>
      <c r="G48" s="217"/>
      <c r="H48" s="217"/>
      <c r="I48" s="217"/>
    </row>
  </sheetData>
  <sheetProtection formatCells="0" formatColumns="0" formatRows="0" insertColumns="0" insertRows="0" insertHyperlinks="0" deleteColumns="0" deleteRows="0" sort="0" autoFilter="0" pivotTables="0"/>
  <mergeCells count="3">
    <mergeCell ref="B47:I47"/>
    <mergeCell ref="B46:I46"/>
    <mergeCell ref="B48:I48"/>
  </mergeCells>
  <printOptions headings="1" gridLines="1"/>
  <pageMargins left="0.62992125984251968" right="0.23622047244094491" top="0.74803149606299213" bottom="0.74803149606299213" header="0.31496062992125984" footer="0.31496062992125984"/>
  <pageSetup paperSize="9" scale="73" fitToHeight="0" orientation="portrait" r:id="rId1"/>
  <headerFooter>
    <oddFooter>&amp;L&amp;A&amp;R&amp;P/&amp;N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Index aus (Tabelle Indices)!">
          <x14:formula1>
            <xm:f>Indices!$C$2:$C$17</xm:f>
          </x14:formula1>
          <xm:sqref>D2:D44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L73"/>
  <sheetViews>
    <sheetView topLeftCell="A8" zoomScaleNormal="100" workbookViewId="0">
      <pane ySplit="780" topLeftCell="A36" activePane="bottomLeft"/>
      <selection activeCell="E23" sqref="E23"/>
      <selection pane="bottomLeft" activeCell="N22" sqref="N22"/>
    </sheetView>
  </sheetViews>
  <sheetFormatPr baseColWidth="10" defaultRowHeight="12.75"/>
  <cols>
    <col min="1" max="1" width="5.28515625" customWidth="1"/>
    <col min="2" max="2" width="15.28515625" customWidth="1"/>
    <col min="3" max="3" width="44.5703125" style="90" customWidth="1"/>
    <col min="4" max="4" width="5" bestFit="1" customWidth="1"/>
    <col min="5" max="5" width="10.28515625" style="10" customWidth="1"/>
    <col min="6" max="6" width="15.7109375" customWidth="1"/>
    <col min="7" max="7" width="15.28515625" customWidth="1"/>
    <col min="8" max="8" width="14.5703125" bestFit="1" customWidth="1"/>
    <col min="9" max="10" width="13.28515625" bestFit="1" customWidth="1"/>
    <col min="11" max="11" width="13.140625" bestFit="1" customWidth="1"/>
    <col min="12" max="12" width="14.5703125" bestFit="1" customWidth="1"/>
  </cols>
  <sheetData>
    <row r="1" spans="1:12">
      <c r="A1" t="s">
        <v>38</v>
      </c>
      <c r="F1">
        <f>+KT!D1</f>
        <v>2016</v>
      </c>
    </row>
    <row r="2" spans="1:12">
      <c r="G2" s="219" t="s">
        <v>34</v>
      </c>
      <c r="H2" s="220"/>
      <c r="I2" s="220"/>
      <c r="J2" s="221"/>
    </row>
    <row r="3" spans="1:12" s="10" customFormat="1" ht="25.5">
      <c r="A3" s="46" t="s">
        <v>0</v>
      </c>
      <c r="B3" s="47" t="s">
        <v>10</v>
      </c>
      <c r="C3" s="47" t="s">
        <v>9</v>
      </c>
      <c r="D3" s="46" t="s">
        <v>39</v>
      </c>
      <c r="E3" s="47" t="s">
        <v>40</v>
      </c>
      <c r="F3" s="47" t="s">
        <v>6</v>
      </c>
      <c r="G3" s="51" t="str">
        <f>+Mengenschlüssel!E1</f>
        <v>Fahrzeuge</v>
      </c>
      <c r="H3" s="51" t="str">
        <f>+Mengenschlüssel!F1</f>
        <v>Personal</v>
      </c>
      <c r="I3" s="51" t="str">
        <f>+Mengenschlüssel!G1</f>
        <v>Gebäude</v>
      </c>
      <c r="J3" s="51" t="str">
        <f>+Mengenschlüssel!H1</f>
        <v>Verwaltung</v>
      </c>
      <c r="K3" s="51" t="str">
        <f>+Mengenschlüssel!I1</f>
        <v>Summe</v>
      </c>
      <c r="L3" s="52" t="s">
        <v>83</v>
      </c>
    </row>
    <row r="4" spans="1:12">
      <c r="A4" s="54">
        <f>+KA!A2</f>
        <v>1</v>
      </c>
      <c r="B4" s="54" t="str">
        <f>+KA!B2</f>
        <v>414000</v>
      </c>
      <c r="C4" s="91" t="str">
        <f>+KA!C2</f>
        <v>Zuweisungen vom Bund</v>
      </c>
      <c r="D4" s="11">
        <v>0</v>
      </c>
      <c r="E4" s="156"/>
      <c r="F4" s="55">
        <f>+HLOOKUP($F$1,KA!$G:$I,ROWS($1:2),FALSE)</f>
        <v>-727.6</v>
      </c>
      <c r="G4" s="56">
        <f>+IF($E4="",0,VLOOKUP($E4,Mengenschlüssel!$C$13:$H$22,COLUMNS($C:E),FALSE)*$F4*$D4)</f>
        <v>0</v>
      </c>
      <c r="H4" s="56">
        <f>+IF($E4="",0,VLOOKUP($E4,Mengenschlüssel!$C$13:$H$22,COLUMNS($C:F),FALSE)*$F4*$D4)</f>
        <v>0</v>
      </c>
      <c r="I4" s="56">
        <f>+IF($E4="",0,VLOOKUP($E4,Mengenschlüssel!$C$13:$H$22,COLUMNS($C:G),FALSE)*$F4*$D4)</f>
        <v>0</v>
      </c>
      <c r="J4" s="56">
        <f>+IF($E4="",0,VLOOKUP($E4,Mengenschlüssel!$C$13:$H$22,COLUMNS($C:H),FALSE)*$F4*$D4)</f>
        <v>0</v>
      </c>
      <c r="K4" s="56">
        <f>SUM(G4:J4)</f>
        <v>0</v>
      </c>
      <c r="L4" s="56">
        <f>+K4-F4</f>
        <v>727.6</v>
      </c>
    </row>
    <row r="5" spans="1:12">
      <c r="A5" s="54">
        <f>+KA!A3</f>
        <v>2</v>
      </c>
      <c r="B5" s="54" t="str">
        <f>+KA!B3</f>
        <v>414100</v>
      </c>
      <c r="C5" s="91" t="str">
        <f>+KA!C3</f>
        <v>Zuweisungen vom Land</v>
      </c>
      <c r="D5" s="11">
        <v>1</v>
      </c>
      <c r="E5" s="156" t="s">
        <v>45</v>
      </c>
      <c r="F5" s="55">
        <f>+HLOOKUP($F$1,KA!$G:$I,ROWS($1:3),FALSE)</f>
        <v>-3932.09</v>
      </c>
      <c r="G5" s="56">
        <f>+IF($E5="",0,VLOOKUP($E5,Mengenschlüssel!$C$13:$H$22,COLUMNS($C:E),FALSE)*$F5*$D5)</f>
        <v>0</v>
      </c>
      <c r="H5" s="56">
        <f>+IF($E5="",0,VLOOKUP($E5,Mengenschlüssel!$C$13:$H$22,COLUMNS($C:F),FALSE)*$F5*$D5)</f>
        <v>-3932.09</v>
      </c>
      <c r="I5" s="56">
        <f>+IF($E5="",0,VLOOKUP($E5,Mengenschlüssel!$C$13:$H$22,COLUMNS($C:G),FALSE)*$F5*$D5)</f>
        <v>0</v>
      </c>
      <c r="J5" s="56">
        <f>+IF($E5="",0,VLOOKUP($E5,Mengenschlüssel!$C$13:$H$22,COLUMNS($C:H),FALSE)*$F5*$D5)</f>
        <v>0</v>
      </c>
      <c r="K5" s="56">
        <f t="shared" ref="K5:K42" si="0">SUM(G5:J5)</f>
        <v>-3932.09</v>
      </c>
      <c r="L5" s="56">
        <f t="shared" ref="L5:L42" si="1">+K5-F5</f>
        <v>0</v>
      </c>
    </row>
    <row r="6" spans="1:12" ht="25.5">
      <c r="A6" s="54">
        <f>+KA!A4</f>
        <v>3</v>
      </c>
      <c r="B6" s="54" t="str">
        <f>+KA!B4</f>
        <v>416100</v>
      </c>
      <c r="C6" s="91" t="str">
        <f>+KA!C4</f>
        <v>Erträge aus der Auflösung von Sonderposten aus Zuwendungen</v>
      </c>
      <c r="D6" s="11">
        <v>0</v>
      </c>
      <c r="E6" s="156"/>
      <c r="F6" s="55">
        <f>+HLOOKUP($F$1,KA!$G:$I,ROWS($1:4),FALSE)</f>
        <v>-39173.35</v>
      </c>
      <c r="G6" s="56">
        <f>+IF($E6="",0,VLOOKUP($E6,Mengenschlüssel!$C$13:$H$22,COLUMNS($C:E),FALSE)*$F6*$D6)</f>
        <v>0</v>
      </c>
      <c r="H6" s="56">
        <f>+IF($E6="",0,VLOOKUP($E6,Mengenschlüssel!$C$13:$H$22,COLUMNS($C:F),FALSE)*$F6*$D6)</f>
        <v>0</v>
      </c>
      <c r="I6" s="56">
        <f>+IF($E6="",0,VLOOKUP($E6,Mengenschlüssel!$C$13:$H$22,COLUMNS($C:G),FALSE)*$F6*$D6)</f>
        <v>0</v>
      </c>
      <c r="J6" s="56">
        <f>+IF($E6="",0,VLOOKUP($E6,Mengenschlüssel!$C$13:$H$22,COLUMNS($C:H),FALSE)*$F6*$D6)</f>
        <v>0</v>
      </c>
      <c r="K6" s="56">
        <f t="shared" si="0"/>
        <v>0</v>
      </c>
      <c r="L6" s="56">
        <f t="shared" si="1"/>
        <v>39173.35</v>
      </c>
    </row>
    <row r="7" spans="1:12" ht="25.5">
      <c r="A7" s="54">
        <f>+KA!A5</f>
        <v>4</v>
      </c>
      <c r="B7" s="54" t="str">
        <f>+KA!B5</f>
        <v>432130</v>
      </c>
      <c r="C7" s="91" t="str">
        <f>+KA!C5</f>
        <v>Entgelt für die Inanspruch nahme öffentlicher Dienste</v>
      </c>
      <c r="D7" s="11">
        <v>0</v>
      </c>
      <c r="E7" s="156"/>
      <c r="F7" s="55">
        <f>+HLOOKUP($F$1,KA!$G:$I,ROWS($1:5),FALSE)</f>
        <v>-37958.740000000005</v>
      </c>
      <c r="G7" s="56">
        <f>+IF($E7="",0,VLOOKUP($E7,Mengenschlüssel!$C$13:$H$22,COLUMNS($C:E),FALSE)*$F7*$D7)</f>
        <v>0</v>
      </c>
      <c r="H7" s="56">
        <f>+IF($E7="",0,VLOOKUP($E7,Mengenschlüssel!$C$13:$H$22,COLUMNS($C:F),FALSE)*$F7*$D7)</f>
        <v>0</v>
      </c>
      <c r="I7" s="56">
        <f>+IF($E7="",0,VLOOKUP($E7,Mengenschlüssel!$C$13:$H$22,COLUMNS($C:G),FALSE)*$F7*$D7)</f>
        <v>0</v>
      </c>
      <c r="J7" s="56">
        <f>+IF($E7="",0,VLOOKUP($E7,Mengenschlüssel!$C$13:$H$22,COLUMNS($C:H),FALSE)*$F7*$D7)</f>
        <v>0</v>
      </c>
      <c r="K7" s="56">
        <f t="shared" si="0"/>
        <v>0</v>
      </c>
      <c r="L7" s="56">
        <f t="shared" si="1"/>
        <v>37958.740000000005</v>
      </c>
    </row>
    <row r="8" spans="1:12">
      <c r="A8" s="54">
        <f>+KA!A6</f>
        <v>5</v>
      </c>
      <c r="B8" s="54" t="str">
        <f>+KA!B6</f>
        <v>446190</v>
      </c>
      <c r="C8" s="91" t="str">
        <f>+KA!C6</f>
        <v>Sonstige privatrechliche Leistungsentgelte</v>
      </c>
      <c r="D8" s="11">
        <v>0</v>
      </c>
      <c r="E8" s="156"/>
      <c r="F8" s="55">
        <f>+HLOOKUP($F$1,KA!$G:$I,ROWS($1:6),FALSE)</f>
        <v>-2045.2</v>
      </c>
      <c r="G8" s="56">
        <f>+IF($E8="",0,VLOOKUP($E8,Mengenschlüssel!$C$13:$H$22,COLUMNS($C:E),FALSE)*$F8*$D8)</f>
        <v>0</v>
      </c>
      <c r="H8" s="56">
        <f>+IF($E8="",0,VLOOKUP($E8,Mengenschlüssel!$C$13:$H$22,COLUMNS($C:F),FALSE)*$F8*$D8)</f>
        <v>0</v>
      </c>
      <c r="I8" s="56">
        <f>+IF($E8="",0,VLOOKUP($E8,Mengenschlüssel!$C$13:$H$22,COLUMNS($C:G),FALSE)*$F8*$D8)</f>
        <v>0</v>
      </c>
      <c r="J8" s="56">
        <f>+IF($E8="",0,VLOOKUP($E8,Mengenschlüssel!$C$13:$H$22,COLUMNS($C:H),FALSE)*$F8*$D8)</f>
        <v>0</v>
      </c>
      <c r="K8" s="56">
        <f t="shared" si="0"/>
        <v>0</v>
      </c>
      <c r="L8" s="56">
        <f t="shared" si="1"/>
        <v>2045.2</v>
      </c>
    </row>
    <row r="9" spans="1:12" ht="25.5">
      <c r="A9" s="54">
        <f>+KA!A7</f>
        <v>6</v>
      </c>
      <c r="B9" s="54" t="str">
        <f>+KA!B7</f>
        <v>448803</v>
      </c>
      <c r="C9" s="91" t="str">
        <f>+KA!C7</f>
        <v>Erstattungen für Schadens fälle - durch Schadens verursacher/Versicherer</v>
      </c>
      <c r="D9" s="11">
        <v>0</v>
      </c>
      <c r="E9" s="156"/>
      <c r="F9" s="55">
        <f>+HLOOKUP($F$1,KA!$G:$I,ROWS($1:7),FALSE)</f>
        <v>-979.67000000000007</v>
      </c>
      <c r="G9" s="56">
        <f>+IF($E9="",0,VLOOKUP($E9,Mengenschlüssel!$C$13:$H$22,COLUMNS($C:E),FALSE)*$F9*$D9)</f>
        <v>0</v>
      </c>
      <c r="H9" s="56">
        <f>+IF($E9="",0,VLOOKUP($E9,Mengenschlüssel!$C$13:$H$22,COLUMNS($C:F),FALSE)*$F9*$D9)</f>
        <v>0</v>
      </c>
      <c r="I9" s="56">
        <f>+IF($E9="",0,VLOOKUP($E9,Mengenschlüssel!$C$13:$H$22,COLUMNS($C:G),FALSE)*$F9*$D9)</f>
        <v>0</v>
      </c>
      <c r="J9" s="56">
        <f>+IF($E9="",0,VLOOKUP($E9,Mengenschlüssel!$C$13:$H$22,COLUMNS($C:H),FALSE)*$F9*$D9)</f>
        <v>0</v>
      </c>
      <c r="K9" s="56">
        <f t="shared" si="0"/>
        <v>0</v>
      </c>
      <c r="L9" s="56">
        <f t="shared" si="1"/>
        <v>979.67000000000007</v>
      </c>
    </row>
    <row r="10" spans="1:12">
      <c r="A10" s="54">
        <f>+KA!A8</f>
        <v>7</v>
      </c>
      <c r="B10" s="54" t="str">
        <f>+KA!B8</f>
        <v>454290</v>
      </c>
      <c r="C10" s="91" t="str">
        <f>+KA!C8</f>
        <v>VK Verkäufe von beweglichem Vermögen</v>
      </c>
      <c r="D10" s="11">
        <v>0</v>
      </c>
      <c r="E10" s="156"/>
      <c r="F10" s="55">
        <f>+HLOOKUP($F$1,KA!$G:$I,ROWS($1:8),FALSE)</f>
        <v>-21504</v>
      </c>
      <c r="G10" s="56">
        <f>+IF($E10="",0,VLOOKUP($E10,Mengenschlüssel!$C$13:$H$22,COLUMNS($C:E),FALSE)*$F10*$D10)</f>
        <v>0</v>
      </c>
      <c r="H10" s="56">
        <f>+IF($E10="",0,VLOOKUP($E10,Mengenschlüssel!$C$13:$H$22,COLUMNS($C:F),FALSE)*$F10*$D10)</f>
        <v>0</v>
      </c>
      <c r="I10" s="56">
        <f>+IF($E10="",0,VLOOKUP($E10,Mengenschlüssel!$C$13:$H$22,COLUMNS($C:G),FALSE)*$F10*$D10)</f>
        <v>0</v>
      </c>
      <c r="J10" s="56">
        <f>+IF($E10="",0,VLOOKUP($E10,Mengenschlüssel!$C$13:$H$22,COLUMNS($C:H),FALSE)*$F10*$D10)</f>
        <v>0</v>
      </c>
      <c r="K10" s="56">
        <f t="shared" si="0"/>
        <v>0</v>
      </c>
      <c r="L10" s="56">
        <f t="shared" si="1"/>
        <v>21504</v>
      </c>
    </row>
    <row r="11" spans="1:12">
      <c r="A11" s="54">
        <f>+KA!A9</f>
        <v>8</v>
      </c>
      <c r="B11" s="54" t="str">
        <f>+KA!B9</f>
        <v>458200</v>
      </c>
      <c r="C11" s="91" t="str">
        <f>+KA!C9</f>
        <v>Auflösung/Herabsetzung RKSt</v>
      </c>
      <c r="D11" s="11">
        <v>0</v>
      </c>
      <c r="E11" s="156"/>
      <c r="F11" s="55">
        <f>+HLOOKUP($F$1,KA!$G:$I,ROWS($1:9),FALSE)</f>
        <v>-18579.72</v>
      </c>
      <c r="G11" s="56">
        <f>+IF($E11="",0,VLOOKUP($E11,Mengenschlüssel!$C$13:$H$22,COLUMNS($C:E),FALSE)*$F11*$D11)</f>
        <v>0</v>
      </c>
      <c r="H11" s="56">
        <f>+IF($E11="",0,VLOOKUP($E11,Mengenschlüssel!$C$13:$H$22,COLUMNS($C:F),FALSE)*$F11*$D11)</f>
        <v>0</v>
      </c>
      <c r="I11" s="56">
        <f>+IF($E11="",0,VLOOKUP($E11,Mengenschlüssel!$C$13:$H$22,COLUMNS($C:G),FALSE)*$F11*$D11)</f>
        <v>0</v>
      </c>
      <c r="J11" s="56">
        <f>+IF($E11="",0,VLOOKUP($E11,Mengenschlüssel!$C$13:$H$22,COLUMNS($C:H),FALSE)*$F11*$D11)</f>
        <v>0</v>
      </c>
      <c r="K11" s="56">
        <f t="shared" si="0"/>
        <v>0</v>
      </c>
      <c r="L11" s="56">
        <f t="shared" si="1"/>
        <v>18579.72</v>
      </c>
    </row>
    <row r="12" spans="1:12">
      <c r="A12" s="54">
        <f>+KA!A10</f>
        <v>9</v>
      </c>
      <c r="B12" s="54" t="str">
        <f>+KA!B10</f>
        <v>459100</v>
      </c>
      <c r="C12" s="91" t="str">
        <f>+KA!C10</f>
        <v>Andere sonstige ordentliche Erträge</v>
      </c>
      <c r="D12" s="11">
        <v>0</v>
      </c>
      <c r="E12" s="156"/>
      <c r="F12" s="55">
        <f>+HLOOKUP($F$1,KA!$G:$I,ROWS($1:10),FALSE)</f>
        <v>-756</v>
      </c>
      <c r="G12" s="56">
        <f>+IF($E12="",0,VLOOKUP($E12,Mengenschlüssel!$C$13:$H$22,COLUMNS($C:E),FALSE)*$F12*$D12)</f>
        <v>0</v>
      </c>
      <c r="H12" s="56">
        <f>+IF($E12="",0,VLOOKUP($E12,Mengenschlüssel!$C$13:$H$22,COLUMNS($C:F),FALSE)*$F12*$D12)</f>
        <v>0</v>
      </c>
      <c r="I12" s="56">
        <f>+IF($E12="",0,VLOOKUP($E12,Mengenschlüssel!$C$13:$H$22,COLUMNS($C:G),FALSE)*$F12*$D12)</f>
        <v>0</v>
      </c>
      <c r="J12" s="56">
        <f>+IF($E12="",0,VLOOKUP($E12,Mengenschlüssel!$C$13:$H$22,COLUMNS($C:H),FALSE)*$F12*$D12)</f>
        <v>0</v>
      </c>
      <c r="K12" s="56">
        <f t="shared" si="0"/>
        <v>0</v>
      </c>
      <c r="L12" s="56">
        <f t="shared" si="1"/>
        <v>756</v>
      </c>
    </row>
    <row r="13" spans="1:12">
      <c r="A13" s="54">
        <f>+KA!A11</f>
        <v>10</v>
      </c>
      <c r="B13" s="54" t="str">
        <f>+KA!B11</f>
        <v>501101</v>
      </c>
      <c r="C13" s="91" t="str">
        <f>+KA!C11</f>
        <v>Bezüge der Beamten</v>
      </c>
      <c r="D13" s="11">
        <v>0</v>
      </c>
      <c r="E13" s="156"/>
      <c r="F13" s="55">
        <f>+HLOOKUP($F$1,KA!$G:$I,ROWS($1:11),FALSE)</f>
        <v>1122013.0565250001</v>
      </c>
      <c r="G13" s="56">
        <f>+IF($E13="",0,VLOOKUP($E13,Mengenschlüssel!$C$13:$H$22,COLUMNS($C:E),FALSE)*$F13*$D13)</f>
        <v>0</v>
      </c>
      <c r="H13" s="56">
        <f>+IF($E13="",0,VLOOKUP($E13,Mengenschlüssel!$C$13:$H$22,COLUMNS($C:F),FALSE)*$F13*$D13)</f>
        <v>0</v>
      </c>
      <c r="I13" s="56">
        <f>+IF($E13="",0,VLOOKUP($E13,Mengenschlüssel!$C$13:$H$22,COLUMNS($C:G),FALSE)*$F13*$D13)</f>
        <v>0</v>
      </c>
      <c r="J13" s="56">
        <f>+IF($E13="",0,VLOOKUP($E13,Mengenschlüssel!$C$13:$H$22,COLUMNS($C:H),FALSE)*$F13*$D13)</f>
        <v>0</v>
      </c>
      <c r="K13" s="56">
        <f t="shared" si="0"/>
        <v>0</v>
      </c>
      <c r="L13" s="56">
        <f t="shared" si="1"/>
        <v>-1122013.0565250001</v>
      </c>
    </row>
    <row r="14" spans="1:12">
      <c r="A14" s="54">
        <f>+KA!A12</f>
        <v>11</v>
      </c>
      <c r="B14" s="54" t="str">
        <f>+KA!B12</f>
        <v>501201</v>
      </c>
      <c r="C14" s="91" t="str">
        <f>+KA!C12</f>
        <v>Vergütungen der tariflich Beschäftigten</v>
      </c>
      <c r="D14" s="11">
        <v>0</v>
      </c>
      <c r="E14" s="156"/>
      <c r="F14" s="55">
        <f>+HLOOKUP($F$1,KA!$G:$I,ROWS($1:12),FALSE)</f>
        <v>29395.459800000004</v>
      </c>
      <c r="G14" s="56">
        <f>+IF($E14="",0,VLOOKUP($E14,Mengenschlüssel!$C$13:$H$22,COLUMNS($C:E),FALSE)*$F14*$D14)</f>
        <v>0</v>
      </c>
      <c r="H14" s="56">
        <f>+IF($E14="",0,VLOOKUP($E14,Mengenschlüssel!$C$13:$H$22,COLUMNS($C:F),FALSE)*$F14*$D14)</f>
        <v>0</v>
      </c>
      <c r="I14" s="56">
        <f>+IF($E14="",0,VLOOKUP($E14,Mengenschlüssel!$C$13:$H$22,COLUMNS($C:G),FALSE)*$F14*$D14)</f>
        <v>0</v>
      </c>
      <c r="J14" s="56">
        <f>+IF($E14="",0,VLOOKUP($E14,Mengenschlüssel!$C$13:$H$22,COLUMNS($C:H),FALSE)*$F14*$D14)</f>
        <v>0</v>
      </c>
      <c r="K14" s="56">
        <f t="shared" si="0"/>
        <v>0</v>
      </c>
      <c r="L14" s="56">
        <f t="shared" si="1"/>
        <v>-29395.459800000004</v>
      </c>
    </row>
    <row r="15" spans="1:12" ht="25.5">
      <c r="A15" s="54">
        <f>+KA!A13</f>
        <v>12</v>
      </c>
      <c r="B15" s="54" t="str">
        <f>+KA!B13</f>
        <v>501996</v>
      </c>
      <c r="C15" s="91" t="str">
        <f>+KA!C13</f>
        <v>Inanspruchnahme / Verbrauch sonstiger Gehalts-RKSt</v>
      </c>
      <c r="D15" s="11">
        <v>0</v>
      </c>
      <c r="E15" s="156"/>
      <c r="F15" s="55">
        <f>+HLOOKUP($F$1,KA!$G:$I,ROWS($1:13),FALSE)</f>
        <v>-145600.28</v>
      </c>
      <c r="G15" s="56">
        <f>+IF($E15="",0,VLOOKUP($E15,Mengenschlüssel!$C$13:$H$22,COLUMNS($C:E),FALSE)*$F15*$D15)</f>
        <v>0</v>
      </c>
      <c r="H15" s="56">
        <f>+IF($E15="",0,VLOOKUP($E15,Mengenschlüssel!$C$13:$H$22,COLUMNS($C:F),FALSE)*$F15*$D15)</f>
        <v>0</v>
      </c>
      <c r="I15" s="56">
        <f>+IF($E15="",0,VLOOKUP($E15,Mengenschlüssel!$C$13:$H$22,COLUMNS($C:G),FALSE)*$F15*$D15)</f>
        <v>0</v>
      </c>
      <c r="J15" s="56">
        <f>+IF($E15="",0,VLOOKUP($E15,Mengenschlüssel!$C$13:$H$22,COLUMNS($C:H),FALSE)*$F15*$D15)</f>
        <v>0</v>
      </c>
      <c r="K15" s="56">
        <f t="shared" si="0"/>
        <v>0</v>
      </c>
      <c r="L15" s="56">
        <f t="shared" si="1"/>
        <v>145600.28</v>
      </c>
    </row>
    <row r="16" spans="1:12" ht="25.5">
      <c r="A16" s="54">
        <f>+KA!A14</f>
        <v>13</v>
      </c>
      <c r="B16" s="54" t="str">
        <f>+KA!B14</f>
        <v>502200</v>
      </c>
      <c r="C16" s="91" t="str">
        <f>+KA!C14</f>
        <v>Beiträge zur Versorgungskasse für tariflich Beschäftigte</v>
      </c>
      <c r="D16" s="11">
        <v>0</v>
      </c>
      <c r="E16" s="156"/>
      <c r="F16" s="55">
        <f>+HLOOKUP($F$1,KA!$G:$I,ROWS($1:14),FALSE)</f>
        <v>2201.3262749999999</v>
      </c>
      <c r="G16" s="56">
        <f>+IF($E16="",0,VLOOKUP($E16,Mengenschlüssel!$C$13:$H$22,COLUMNS($C:E),FALSE)*$F16*$D16)</f>
        <v>0</v>
      </c>
      <c r="H16" s="56">
        <f>+IF($E16="",0,VLOOKUP($E16,Mengenschlüssel!$C$13:$H$22,COLUMNS($C:F),FALSE)*$F16*$D16)</f>
        <v>0</v>
      </c>
      <c r="I16" s="56">
        <f>+IF($E16="",0,VLOOKUP($E16,Mengenschlüssel!$C$13:$H$22,COLUMNS($C:G),FALSE)*$F16*$D16)</f>
        <v>0</v>
      </c>
      <c r="J16" s="56">
        <f>+IF($E16="",0,VLOOKUP($E16,Mengenschlüssel!$C$13:$H$22,COLUMNS($C:H),FALSE)*$F16*$D16)</f>
        <v>0</v>
      </c>
      <c r="K16" s="56">
        <f t="shared" si="0"/>
        <v>0</v>
      </c>
      <c r="L16" s="56">
        <f t="shared" si="1"/>
        <v>-2201.3262749999999</v>
      </c>
    </row>
    <row r="17" spans="1:12" ht="25.5">
      <c r="A17" s="54">
        <f>+KA!A15</f>
        <v>14</v>
      </c>
      <c r="B17" s="54" t="str">
        <f>+KA!B15</f>
        <v>503201</v>
      </c>
      <c r="C17" s="91" t="str">
        <f>+KA!C15</f>
        <v>Beiträge zur gesetzlichen Sozialversicherung aus lfd. Vergütung für tariflich Beschäftigte</v>
      </c>
      <c r="D17" s="11">
        <v>0</v>
      </c>
      <c r="E17" s="156"/>
      <c r="F17" s="55">
        <f>+HLOOKUP($F$1,KA!$G:$I,ROWS($1:15),FALSE)</f>
        <v>5644.1499750000003</v>
      </c>
      <c r="G17" s="56">
        <f>+IF($E17="",0,VLOOKUP($E17,Mengenschlüssel!$C$13:$H$22,COLUMNS($C:E),FALSE)*$F17*$D17)</f>
        <v>0</v>
      </c>
      <c r="H17" s="56">
        <f>+IF($E17="",0,VLOOKUP($E17,Mengenschlüssel!$C$13:$H$22,COLUMNS($C:F),FALSE)*$F17*$D17)</f>
        <v>0</v>
      </c>
      <c r="I17" s="56">
        <f>+IF($E17="",0,VLOOKUP($E17,Mengenschlüssel!$C$13:$H$22,COLUMNS($C:G),FALSE)*$F17*$D17)</f>
        <v>0</v>
      </c>
      <c r="J17" s="56">
        <f>+IF($E17="",0,VLOOKUP($E17,Mengenschlüssel!$C$13:$H$22,COLUMNS($C:H),FALSE)*$F17*$D17)</f>
        <v>0</v>
      </c>
      <c r="K17" s="56">
        <f t="shared" si="0"/>
        <v>0</v>
      </c>
      <c r="L17" s="56">
        <f t="shared" si="1"/>
        <v>-5644.1499750000003</v>
      </c>
    </row>
    <row r="18" spans="1:12" ht="25.5">
      <c r="A18" s="54">
        <f>+KA!A16</f>
        <v>15</v>
      </c>
      <c r="B18" s="54" t="str">
        <f>+KA!B16</f>
        <v>504100</v>
      </c>
      <c r="C18" s="91" t="str">
        <f>+KA!C16</f>
        <v>Beihilfen und Unterstützungsleistungen für Beschäftigte</v>
      </c>
      <c r="D18" s="11">
        <v>0</v>
      </c>
      <c r="E18" s="156"/>
      <c r="F18" s="55">
        <f>+HLOOKUP($F$1,KA!$G:$I,ROWS($1:16),FALSE)</f>
        <v>74086.366799999989</v>
      </c>
      <c r="G18" s="56">
        <f>+IF($E18="",0,VLOOKUP($E18,Mengenschlüssel!$C$13:$H$22,COLUMNS($C:E),FALSE)*$F18*$D18)</f>
        <v>0</v>
      </c>
      <c r="H18" s="56">
        <f>+IF($E18="",0,VLOOKUP($E18,Mengenschlüssel!$C$13:$H$22,COLUMNS($C:F),FALSE)*$F18*$D18)</f>
        <v>0</v>
      </c>
      <c r="I18" s="56">
        <f>+IF($E18="",0,VLOOKUP($E18,Mengenschlüssel!$C$13:$H$22,COLUMNS($C:G),FALSE)*$F18*$D18)</f>
        <v>0</v>
      </c>
      <c r="J18" s="56">
        <f>+IF($E18="",0,VLOOKUP($E18,Mengenschlüssel!$C$13:$H$22,COLUMNS($C:H),FALSE)*$F18*$D18)</f>
        <v>0</v>
      </c>
      <c r="K18" s="56">
        <f t="shared" si="0"/>
        <v>0</v>
      </c>
      <c r="L18" s="56">
        <f t="shared" si="1"/>
        <v>-74086.366799999989</v>
      </c>
    </row>
    <row r="19" spans="1:12">
      <c r="A19" s="54">
        <f>+KA!A17</f>
        <v>16</v>
      </c>
      <c r="B19" s="54" t="str">
        <f>+KA!B17</f>
        <v>505100</v>
      </c>
      <c r="C19" s="91" t="str">
        <f>+KA!C17</f>
        <v>Zuführungen zu Pensionsrückstellungen für Beamte</v>
      </c>
      <c r="D19" s="11">
        <v>0</v>
      </c>
      <c r="E19" s="156"/>
      <c r="F19" s="55">
        <f>+HLOOKUP($F$1,KA!$G:$I,ROWS($1:17),FALSE)</f>
        <v>276114.9375</v>
      </c>
      <c r="G19" s="56">
        <f>+IF($E19="",0,VLOOKUP($E19,Mengenschlüssel!$C$13:$H$22,COLUMNS($C:E),FALSE)*$F19*$D19)</f>
        <v>0</v>
      </c>
      <c r="H19" s="56">
        <f>+IF($E19="",0,VLOOKUP($E19,Mengenschlüssel!$C$13:$H$22,COLUMNS($C:F),FALSE)*$F19*$D19)</f>
        <v>0</v>
      </c>
      <c r="I19" s="56">
        <f>+IF($E19="",0,VLOOKUP($E19,Mengenschlüssel!$C$13:$H$22,COLUMNS($C:G),FALSE)*$F19*$D19)</f>
        <v>0</v>
      </c>
      <c r="J19" s="56">
        <f>+IF($E19="",0,VLOOKUP($E19,Mengenschlüssel!$C$13:$H$22,COLUMNS($C:H),FALSE)*$F19*$D19)</f>
        <v>0</v>
      </c>
      <c r="K19" s="56">
        <f t="shared" si="0"/>
        <v>0</v>
      </c>
      <c r="L19" s="56">
        <f t="shared" si="1"/>
        <v>-276114.9375</v>
      </c>
    </row>
    <row r="20" spans="1:12">
      <c r="A20" s="54">
        <f>+KA!A18</f>
        <v>17</v>
      </c>
      <c r="B20" s="54" t="str">
        <f>+KA!B18</f>
        <v>506100</v>
      </c>
      <c r="C20" s="91" t="str">
        <f>+KA!C18</f>
        <v>Zuführungen zu Beihilferückstellung für Beamte</v>
      </c>
      <c r="D20" s="11">
        <v>0</v>
      </c>
      <c r="E20" s="156"/>
      <c r="F20" s="55">
        <f>+HLOOKUP($F$1,KA!$G:$I,ROWS($1:18),FALSE)</f>
        <v>94661.52</v>
      </c>
      <c r="G20" s="56">
        <f>+IF($E20="",0,VLOOKUP($E20,Mengenschlüssel!$C$13:$H$22,COLUMNS($C:E),FALSE)*$F20*$D20)</f>
        <v>0</v>
      </c>
      <c r="H20" s="56">
        <f>+IF($E20="",0,VLOOKUP($E20,Mengenschlüssel!$C$13:$H$22,COLUMNS($C:F),FALSE)*$F20*$D20)</f>
        <v>0</v>
      </c>
      <c r="I20" s="56">
        <f>+IF($E20="",0,VLOOKUP($E20,Mengenschlüssel!$C$13:$H$22,COLUMNS($C:G),FALSE)*$F20*$D20)</f>
        <v>0</v>
      </c>
      <c r="J20" s="56">
        <f>+IF($E20="",0,VLOOKUP($E20,Mengenschlüssel!$C$13:$H$22,COLUMNS($C:H),FALSE)*$F20*$D20)</f>
        <v>0</v>
      </c>
      <c r="K20" s="56">
        <f t="shared" si="0"/>
        <v>0</v>
      </c>
      <c r="L20" s="56">
        <f t="shared" si="1"/>
        <v>-94661.52</v>
      </c>
    </row>
    <row r="21" spans="1:12" ht="25.5">
      <c r="A21" s="54">
        <f>+KA!A19</f>
        <v>18</v>
      </c>
      <c r="B21" s="54" t="str">
        <f>+KA!B19</f>
        <v>521110</v>
      </c>
      <c r="C21" s="91" t="str">
        <f>+KA!C19</f>
        <v>Unterhaltung der bebauten Grundstücke, Gebäude und baulichen Anlagen - Unabdingbares</v>
      </c>
      <c r="D21" s="11">
        <v>1</v>
      </c>
      <c r="E21" s="156" t="s">
        <v>53</v>
      </c>
      <c r="F21" s="55">
        <f>+HLOOKUP($F$1,KA!$G:$I,ROWS($1:19),FALSE)</f>
        <v>75248.006924999994</v>
      </c>
      <c r="G21" s="56">
        <f>+IF($E21="",0,VLOOKUP($E21,Mengenschlüssel!$C$13:$H$22,COLUMNS($C:E),FALSE)*$F21*$D21)</f>
        <v>0</v>
      </c>
      <c r="H21" s="56">
        <f>+IF($E21="",0,VLOOKUP($E21,Mengenschlüssel!$C$13:$H$22,COLUMNS($C:F),FALSE)*$F21*$D21)</f>
        <v>0</v>
      </c>
      <c r="I21" s="56">
        <f>+IF($E21="",0,VLOOKUP($E21,Mengenschlüssel!$C$13:$H$22,COLUMNS($C:G),FALSE)*$F21*$D21)</f>
        <v>75248.006924999994</v>
      </c>
      <c r="J21" s="56">
        <f>+IF($E21="",0,VLOOKUP($E21,Mengenschlüssel!$C$13:$H$22,COLUMNS($C:H),FALSE)*$F21*$D21)</f>
        <v>0</v>
      </c>
      <c r="K21" s="56">
        <f t="shared" si="0"/>
        <v>75248.006924999994</v>
      </c>
      <c r="L21" s="56">
        <f t="shared" si="1"/>
        <v>0</v>
      </c>
    </row>
    <row r="22" spans="1:12" ht="25.5">
      <c r="A22" s="54">
        <f>+KA!A20</f>
        <v>19</v>
      </c>
      <c r="B22" s="54" t="str">
        <f>+KA!B20</f>
        <v>521120</v>
      </c>
      <c r="C22" s="91" t="str">
        <f>+KA!C20</f>
        <v>Unterhaltung der bebauten Grundstücke, Gebäude und baulichen Anlagen - begrünte Außenanlagen</v>
      </c>
      <c r="D22" s="11">
        <v>1</v>
      </c>
      <c r="E22" s="156" t="s">
        <v>53</v>
      </c>
      <c r="F22" s="55">
        <f>+HLOOKUP($F$1,KA!$G:$I,ROWS($1:20),FALSE)</f>
        <v>168.84524999999996</v>
      </c>
      <c r="G22" s="56">
        <f>+IF($E22="",0,VLOOKUP($E22,Mengenschlüssel!$C$13:$H$22,COLUMNS($C:E),FALSE)*$F22*$D22)</f>
        <v>0</v>
      </c>
      <c r="H22" s="56">
        <f>+IF($E22="",0,VLOOKUP($E22,Mengenschlüssel!$C$13:$H$22,COLUMNS($C:F),FALSE)*$F22*$D22)</f>
        <v>0</v>
      </c>
      <c r="I22" s="56">
        <f>+IF($E22="",0,VLOOKUP($E22,Mengenschlüssel!$C$13:$H$22,COLUMNS($C:G),FALSE)*$F22*$D22)</f>
        <v>168.84524999999996</v>
      </c>
      <c r="J22" s="56">
        <f>+IF($E22="",0,VLOOKUP($E22,Mengenschlüssel!$C$13:$H$22,COLUMNS($C:H),FALSE)*$F22*$D22)</f>
        <v>0</v>
      </c>
      <c r="K22" s="56">
        <f t="shared" si="0"/>
        <v>168.84524999999996</v>
      </c>
      <c r="L22" s="56">
        <f t="shared" si="1"/>
        <v>0</v>
      </c>
    </row>
    <row r="23" spans="1:12" ht="25.5">
      <c r="A23" s="54">
        <f>+KA!A21</f>
        <v>20</v>
      </c>
      <c r="B23" s="54" t="str">
        <f>+KA!B21</f>
        <v>523500</v>
      </c>
      <c r="C23" s="91" t="str">
        <f>+KA!C21</f>
        <v>Erstattungen an verbundene Unternehmen, Beteiligungen und Sondervermögen</v>
      </c>
      <c r="D23" s="11">
        <v>1</v>
      </c>
      <c r="E23" s="156" t="s">
        <v>37</v>
      </c>
      <c r="F23" s="55">
        <f>+HLOOKUP($F$1,KA!$G:$I,ROWS($1:21),FALSE)</f>
        <v>18623.506000000001</v>
      </c>
      <c r="G23" s="56">
        <f>+IF($E23="",0,VLOOKUP($E23,Mengenschlüssel!$C$13:$H$22,COLUMNS($C:E),FALSE)*$F23*$D23)</f>
        <v>0</v>
      </c>
      <c r="H23" s="56">
        <f>+IF($E23="",0,VLOOKUP($E23,Mengenschlüssel!$C$13:$H$22,COLUMNS($C:F),FALSE)*$F23*$D23)</f>
        <v>0</v>
      </c>
      <c r="I23" s="56">
        <f>+IF($E23="",0,VLOOKUP($E23,Mengenschlüssel!$C$13:$H$22,COLUMNS($C:G),FALSE)*$F23*$D23)</f>
        <v>0</v>
      </c>
      <c r="J23" s="56">
        <f>+IF($E23="",0,VLOOKUP($E23,Mengenschlüssel!$C$13:$H$22,COLUMNS($C:H),FALSE)*$F23*$D23)</f>
        <v>18623.506000000001</v>
      </c>
      <c r="K23" s="56">
        <f t="shared" si="0"/>
        <v>18623.506000000001</v>
      </c>
      <c r="L23" s="56">
        <f t="shared" si="1"/>
        <v>0</v>
      </c>
    </row>
    <row r="24" spans="1:12">
      <c r="A24" s="54">
        <f>+KA!A22</f>
        <v>21</v>
      </c>
      <c r="B24" s="54" t="str">
        <f>+KA!B22</f>
        <v>523800</v>
      </c>
      <c r="C24" s="91" t="str">
        <f>+KA!C22</f>
        <v>Erstattungen an übrige Bereiche</v>
      </c>
      <c r="D24" s="11">
        <v>0</v>
      </c>
      <c r="E24" s="156"/>
      <c r="F24" s="55">
        <f>+HLOOKUP($F$1,KA!$G:$I,ROWS($1:22),FALSE)</f>
        <v>866.08999999999992</v>
      </c>
      <c r="G24" s="56">
        <f>+IF($E24="",0,VLOOKUP($E24,Mengenschlüssel!$C$13:$H$22,COLUMNS($C:E),FALSE)*$F24*$D24)</f>
        <v>0</v>
      </c>
      <c r="H24" s="56">
        <f>+IF($E24="",0,VLOOKUP($E24,Mengenschlüssel!$C$13:$H$22,COLUMNS($C:F),FALSE)*$F24*$D24)</f>
        <v>0</v>
      </c>
      <c r="I24" s="56">
        <f>+IF($E24="",0,VLOOKUP($E24,Mengenschlüssel!$C$13:$H$22,COLUMNS($C:G),FALSE)*$F24*$D24)</f>
        <v>0</v>
      </c>
      <c r="J24" s="56">
        <f>+IF($E24="",0,VLOOKUP($E24,Mengenschlüssel!$C$13:$H$22,COLUMNS($C:H),FALSE)*$F24*$D24)</f>
        <v>0</v>
      </c>
      <c r="K24" s="56">
        <f t="shared" si="0"/>
        <v>0</v>
      </c>
      <c r="L24" s="56">
        <f t="shared" si="1"/>
        <v>-866.08999999999992</v>
      </c>
    </row>
    <row r="25" spans="1:12" ht="25.5">
      <c r="A25" s="54">
        <f>+KA!A23</f>
        <v>22</v>
      </c>
      <c r="B25" s="54" t="str">
        <f>+KA!B23</f>
        <v>524119</v>
      </c>
      <c r="C25" s="91" t="str">
        <f>+KA!C23</f>
        <v>Bewirtschaftung der Grund stücke und baulichen Anlagen - Grundabgaben</v>
      </c>
      <c r="D25" s="11">
        <v>1</v>
      </c>
      <c r="E25" s="156" t="s">
        <v>53</v>
      </c>
      <c r="F25" s="55">
        <f>+HLOOKUP($F$1,KA!$G:$I,ROWS($1:23),FALSE)</f>
        <v>6468.54</v>
      </c>
      <c r="G25" s="56">
        <f>+IF($E25="",0,VLOOKUP($E25,Mengenschlüssel!$C$13:$H$22,COLUMNS($C:E),FALSE)*$F25*$D25)</f>
        <v>0</v>
      </c>
      <c r="H25" s="56">
        <f>+IF($E25="",0,VLOOKUP($E25,Mengenschlüssel!$C$13:$H$22,COLUMNS($C:F),FALSE)*$F25*$D25)</f>
        <v>0</v>
      </c>
      <c r="I25" s="56">
        <f>+IF($E25="",0,VLOOKUP($E25,Mengenschlüssel!$C$13:$H$22,COLUMNS($C:G),FALSE)*$F25*$D25)</f>
        <v>6468.54</v>
      </c>
      <c r="J25" s="56">
        <f>+IF($E25="",0,VLOOKUP($E25,Mengenschlüssel!$C$13:$H$22,COLUMNS($C:H),FALSE)*$F25*$D25)</f>
        <v>0</v>
      </c>
      <c r="K25" s="56">
        <f t="shared" si="0"/>
        <v>6468.54</v>
      </c>
      <c r="L25" s="56">
        <f t="shared" si="1"/>
        <v>0</v>
      </c>
    </row>
    <row r="26" spans="1:12" ht="25.5">
      <c r="A26" s="54">
        <f>+KA!A24</f>
        <v>23</v>
      </c>
      <c r="B26" s="54" t="str">
        <f>+KA!B24</f>
        <v>524120</v>
      </c>
      <c r="C26" s="91" t="str">
        <f>+KA!C24</f>
        <v>Bewirtschaftung der Grund stücke und baulichen Anlagen - Hausgebühren</v>
      </c>
      <c r="D26" s="11">
        <v>1</v>
      </c>
      <c r="E26" s="156" t="s">
        <v>53</v>
      </c>
      <c r="F26" s="55">
        <f>+HLOOKUP($F$1,KA!$G:$I,ROWS($1:24),FALSE)</f>
        <v>3065.6461000000004</v>
      </c>
      <c r="G26" s="56">
        <f>+IF($E26="",0,VLOOKUP($E26,Mengenschlüssel!$C$13:$H$22,COLUMNS($C:E),FALSE)*$F26*$D26)</f>
        <v>0</v>
      </c>
      <c r="H26" s="56">
        <f>+IF($E26="",0,VLOOKUP($E26,Mengenschlüssel!$C$13:$H$22,COLUMNS($C:F),FALSE)*$F26*$D26)</f>
        <v>0</v>
      </c>
      <c r="I26" s="56">
        <f>+IF($E26="",0,VLOOKUP($E26,Mengenschlüssel!$C$13:$H$22,COLUMNS($C:G),FALSE)*$F26*$D26)</f>
        <v>3065.6461000000004</v>
      </c>
      <c r="J26" s="56">
        <f>+IF($E26="",0,VLOOKUP($E26,Mengenschlüssel!$C$13:$H$22,COLUMNS($C:H),FALSE)*$F26*$D26)</f>
        <v>0</v>
      </c>
      <c r="K26" s="56">
        <f t="shared" si="0"/>
        <v>3065.6461000000004</v>
      </c>
      <c r="L26" s="56">
        <f t="shared" si="1"/>
        <v>0</v>
      </c>
    </row>
    <row r="27" spans="1:12" ht="25.5">
      <c r="A27" s="54">
        <f>+KA!A25</f>
        <v>24</v>
      </c>
      <c r="B27" s="54" t="str">
        <f>+KA!B25</f>
        <v>524130</v>
      </c>
      <c r="C27" s="91" t="str">
        <f>+KA!C25</f>
        <v>Bewirtschaftung der Grund stücke und baulichen Anlagen - Reinigung</v>
      </c>
      <c r="D27" s="11">
        <v>1</v>
      </c>
      <c r="E27" s="156" t="s">
        <v>53</v>
      </c>
      <c r="F27" s="55">
        <f>+HLOOKUP($F$1,KA!$G:$I,ROWS($1:25),FALSE)</f>
        <v>25440.132549999998</v>
      </c>
      <c r="G27" s="56">
        <f>+IF($E27="",0,VLOOKUP($E27,Mengenschlüssel!$C$13:$H$22,COLUMNS($C:E),FALSE)*$F27*$D27)</f>
        <v>0</v>
      </c>
      <c r="H27" s="56">
        <f>+IF($E27="",0,VLOOKUP($E27,Mengenschlüssel!$C$13:$H$22,COLUMNS($C:F),FALSE)*$F27*$D27)</f>
        <v>0</v>
      </c>
      <c r="I27" s="56">
        <f>+IF($E27="",0,VLOOKUP($E27,Mengenschlüssel!$C$13:$H$22,COLUMNS($C:G),FALSE)*$F27*$D27)</f>
        <v>25440.132549999998</v>
      </c>
      <c r="J27" s="56">
        <f>+IF($E27="",0,VLOOKUP($E27,Mengenschlüssel!$C$13:$H$22,COLUMNS($C:H),FALSE)*$F27*$D27)</f>
        <v>0</v>
      </c>
      <c r="K27" s="56">
        <f t="shared" si="0"/>
        <v>25440.132549999998</v>
      </c>
      <c r="L27" s="56">
        <f t="shared" si="1"/>
        <v>0</v>
      </c>
    </row>
    <row r="28" spans="1:12" ht="25.5">
      <c r="A28" s="54">
        <f>+KA!A26</f>
        <v>25</v>
      </c>
      <c r="B28" s="54" t="str">
        <f>+KA!B26</f>
        <v>524149</v>
      </c>
      <c r="C28" s="91" t="str">
        <f>+KA!C26</f>
        <v>Bewirtschaftung der Grund stücke und baulichen Anlagen - Versicherungen</v>
      </c>
      <c r="D28" s="11">
        <v>1</v>
      </c>
      <c r="E28" s="156" t="s">
        <v>53</v>
      </c>
      <c r="F28" s="55">
        <f>+HLOOKUP($F$1,KA!$G:$I,ROWS($1:26),FALSE)</f>
        <v>4818.54</v>
      </c>
      <c r="G28" s="56">
        <f>+IF($E28="",0,VLOOKUP($E28,Mengenschlüssel!$C$13:$H$22,COLUMNS($C:E),FALSE)*$F28*$D28)</f>
        <v>0</v>
      </c>
      <c r="H28" s="56">
        <f>+IF($E28="",0,VLOOKUP($E28,Mengenschlüssel!$C$13:$H$22,COLUMNS($C:F),FALSE)*$F28*$D28)</f>
        <v>0</v>
      </c>
      <c r="I28" s="56">
        <f>+IF($E28="",0,VLOOKUP($E28,Mengenschlüssel!$C$13:$H$22,COLUMNS($C:G),FALSE)*$F28*$D28)</f>
        <v>4818.54</v>
      </c>
      <c r="J28" s="56">
        <f>+IF($E28="",0,VLOOKUP($E28,Mengenschlüssel!$C$13:$H$22,COLUMNS($C:H),FALSE)*$F28*$D28)</f>
        <v>0</v>
      </c>
      <c r="K28" s="56">
        <f t="shared" si="0"/>
        <v>4818.54</v>
      </c>
      <c r="L28" s="56">
        <f t="shared" si="1"/>
        <v>0</v>
      </c>
    </row>
    <row r="29" spans="1:12" ht="25.5">
      <c r="A29" s="54">
        <f>+KA!A27</f>
        <v>26</v>
      </c>
      <c r="B29" s="54" t="str">
        <f>+KA!B27</f>
        <v>524156</v>
      </c>
      <c r="C29" s="91" t="str">
        <f>+KA!C27</f>
        <v>SN Bewirtschaftung der Grund stücke und baulichen Anlagen - Energie/Strom</v>
      </c>
      <c r="D29" s="11">
        <v>1</v>
      </c>
      <c r="E29" s="156" t="s">
        <v>53</v>
      </c>
      <c r="F29" s="55">
        <f>+HLOOKUP($F$1,KA!$G:$I,ROWS($1:27),FALSE)</f>
        <v>29812.007125000004</v>
      </c>
      <c r="G29" s="56">
        <f>+IF($E29="",0,VLOOKUP($E29,Mengenschlüssel!$C$13:$H$22,COLUMNS($C:E),FALSE)*$F29*$D29)</f>
        <v>0</v>
      </c>
      <c r="H29" s="56">
        <f>+IF($E29="",0,VLOOKUP($E29,Mengenschlüssel!$C$13:$H$22,COLUMNS($C:F),FALSE)*$F29*$D29)</f>
        <v>0</v>
      </c>
      <c r="I29" s="56">
        <f>+IF($E29="",0,VLOOKUP($E29,Mengenschlüssel!$C$13:$H$22,COLUMNS($C:G),FALSE)*$F29*$D29)</f>
        <v>29812.007125000004</v>
      </c>
      <c r="J29" s="56">
        <f>+IF($E29="",0,VLOOKUP($E29,Mengenschlüssel!$C$13:$H$22,COLUMNS($C:H),FALSE)*$F29*$D29)</f>
        <v>0</v>
      </c>
      <c r="K29" s="56">
        <f t="shared" si="0"/>
        <v>29812.007125000004</v>
      </c>
      <c r="L29" s="56">
        <f t="shared" si="1"/>
        <v>0</v>
      </c>
    </row>
    <row r="30" spans="1:12" ht="25.5">
      <c r="A30" s="54">
        <f>+KA!A28</f>
        <v>27</v>
      </c>
      <c r="B30" s="54" t="str">
        <f>+KA!B28</f>
        <v>524157</v>
      </c>
      <c r="C30" s="91" t="str">
        <f>+KA!C28</f>
        <v>Bewirtschaftung der Grund stücke und baulichen Anlagen - Gas</v>
      </c>
      <c r="D30" s="11">
        <v>1</v>
      </c>
      <c r="E30" s="156" t="s">
        <v>53</v>
      </c>
      <c r="F30" s="55">
        <f>+HLOOKUP($F$1,KA!$G:$I,ROWS($1:28),FALSE)</f>
        <v>23119.014000000003</v>
      </c>
      <c r="G30" s="56">
        <f>+IF($E30="",0,VLOOKUP($E30,Mengenschlüssel!$C$13:$H$22,COLUMNS($C:E),FALSE)*$F30*$D30)</f>
        <v>0</v>
      </c>
      <c r="H30" s="56">
        <f>+IF($E30="",0,VLOOKUP($E30,Mengenschlüssel!$C$13:$H$22,COLUMNS($C:F),FALSE)*$F30*$D30)</f>
        <v>0</v>
      </c>
      <c r="I30" s="56">
        <f>+IF($E30="",0,VLOOKUP($E30,Mengenschlüssel!$C$13:$H$22,COLUMNS($C:G),FALSE)*$F30*$D30)</f>
        <v>23119.014000000003</v>
      </c>
      <c r="J30" s="56">
        <f>+IF($E30="",0,VLOOKUP($E30,Mengenschlüssel!$C$13:$H$22,COLUMNS($C:H),FALSE)*$F30*$D30)</f>
        <v>0</v>
      </c>
      <c r="K30" s="56">
        <f t="shared" si="0"/>
        <v>23119.014000000003</v>
      </c>
      <c r="L30" s="56">
        <f t="shared" si="1"/>
        <v>0</v>
      </c>
    </row>
    <row r="31" spans="1:12" ht="25.5">
      <c r="A31" s="54">
        <f>+KA!A29</f>
        <v>28</v>
      </c>
      <c r="B31" s="54" t="str">
        <f>+KA!B29</f>
        <v>524158</v>
      </c>
      <c r="C31" s="91" t="str">
        <f>+KA!C29</f>
        <v>SN Bewirtschaftung der Grund stücke und baulichen Anlagen - Wasser</v>
      </c>
      <c r="D31" s="11">
        <v>1</v>
      </c>
      <c r="E31" s="156" t="s">
        <v>53</v>
      </c>
      <c r="F31" s="55">
        <f>+HLOOKUP($F$1,KA!$G:$I,ROWS($1:29),FALSE)</f>
        <v>1632.9145250000001</v>
      </c>
      <c r="G31" s="56">
        <f>+IF($E31="",0,VLOOKUP($E31,Mengenschlüssel!$C$13:$H$22,COLUMNS($C:E),FALSE)*$F31*$D31)</f>
        <v>0</v>
      </c>
      <c r="H31" s="56">
        <f>+IF($E31="",0,VLOOKUP($E31,Mengenschlüssel!$C$13:$H$22,COLUMNS($C:F),FALSE)*$F31*$D31)</f>
        <v>0</v>
      </c>
      <c r="I31" s="56">
        <f>+IF($E31="",0,VLOOKUP($E31,Mengenschlüssel!$C$13:$H$22,COLUMNS($C:G),FALSE)*$F31*$D31)</f>
        <v>1632.9145250000001</v>
      </c>
      <c r="J31" s="56">
        <f>+IF($E31="",0,VLOOKUP($E31,Mengenschlüssel!$C$13:$H$22,COLUMNS($C:H),FALSE)*$F31*$D31)</f>
        <v>0</v>
      </c>
      <c r="K31" s="56">
        <f t="shared" si="0"/>
        <v>1632.9145250000001</v>
      </c>
      <c r="L31" s="56">
        <f t="shared" si="1"/>
        <v>0</v>
      </c>
    </row>
    <row r="32" spans="1:12">
      <c r="A32" s="54">
        <f>+KA!A30</f>
        <v>29</v>
      </c>
      <c r="B32" s="54" t="str">
        <f>+KA!B30</f>
        <v>525101</v>
      </c>
      <c r="C32" s="91" t="str">
        <f>+KA!C30</f>
        <v>Unterhaltung von Fahrzeugen 1)</v>
      </c>
      <c r="D32" s="11">
        <v>1</v>
      </c>
      <c r="E32" s="156" t="s">
        <v>43</v>
      </c>
      <c r="F32" s="55">
        <f>+HLOOKUP($F$1,KA!$G:$I,ROWS($1:30),FALSE)</f>
        <v>349.79</v>
      </c>
      <c r="G32" s="56">
        <f>+IF($E32="",0,VLOOKUP($E32,Mengenschlüssel!$C$13:$H$22,COLUMNS($C:E),FALSE)*$F32*$D32)</f>
        <v>349.79</v>
      </c>
      <c r="H32" s="56">
        <f>+IF($E32="",0,VLOOKUP($E32,Mengenschlüssel!$C$13:$H$22,COLUMNS($C:F),FALSE)*$F32*$D32)</f>
        <v>0</v>
      </c>
      <c r="I32" s="56">
        <f>+IF($E32="",0,VLOOKUP($E32,Mengenschlüssel!$C$13:$H$22,COLUMNS($C:G),FALSE)*$F32*$D32)</f>
        <v>0</v>
      </c>
      <c r="J32" s="56">
        <f>+IF($E32="",0,VLOOKUP($E32,Mengenschlüssel!$C$13:$H$22,COLUMNS($C:H),FALSE)*$F32*$D32)</f>
        <v>0</v>
      </c>
      <c r="K32" s="56">
        <f t="shared" si="0"/>
        <v>349.79</v>
      </c>
      <c r="L32" s="56">
        <f t="shared" si="1"/>
        <v>0</v>
      </c>
    </row>
    <row r="33" spans="1:12">
      <c r="A33" s="54">
        <f>+KA!A31</f>
        <v>30</v>
      </c>
      <c r="B33" s="54" t="str">
        <f>+KA!B31</f>
        <v>525103</v>
      </c>
      <c r="C33" s="91" t="str">
        <f>+KA!C31</f>
        <v>Bewirtschaftung von Fahrzeugen - Sonstige 2)</v>
      </c>
      <c r="D33" s="11">
        <v>1</v>
      </c>
      <c r="E33" s="156" t="s">
        <v>43</v>
      </c>
      <c r="F33" s="55">
        <f>+HLOOKUP($F$1,KA!$G:$I,ROWS($1:31),FALSE)</f>
        <v>6043.8003587639951</v>
      </c>
      <c r="G33" s="56">
        <f>+IF($E33="",0,VLOOKUP($E33,Mengenschlüssel!$C$13:$H$22,COLUMNS($C:E),FALSE)*$F33*$D33)</f>
        <v>6043.8003587639951</v>
      </c>
      <c r="H33" s="56">
        <f>+IF($E33="",0,VLOOKUP($E33,Mengenschlüssel!$C$13:$H$22,COLUMNS($C:F),FALSE)*$F33*$D33)</f>
        <v>0</v>
      </c>
      <c r="I33" s="56">
        <f>+IF($E33="",0,VLOOKUP($E33,Mengenschlüssel!$C$13:$H$22,COLUMNS($C:G),FALSE)*$F33*$D33)</f>
        <v>0</v>
      </c>
      <c r="J33" s="56">
        <f>+IF($E33="",0,VLOOKUP($E33,Mengenschlüssel!$C$13:$H$22,COLUMNS($C:H),FALSE)*$F33*$D33)</f>
        <v>0</v>
      </c>
      <c r="K33" s="56">
        <f t="shared" si="0"/>
        <v>6043.8003587639951</v>
      </c>
      <c r="L33" s="56">
        <f t="shared" si="1"/>
        <v>0</v>
      </c>
    </row>
    <row r="34" spans="1:12" ht="25.5">
      <c r="A34" s="54">
        <f>+KA!A32</f>
        <v>31</v>
      </c>
      <c r="B34" s="54" t="str">
        <f>+KA!B32</f>
        <v>525192</v>
      </c>
      <c r="C34" s="91" t="str">
        <f>+KA!C32</f>
        <v>SN Bewirtschaftung von KfZ - Versicherung/Steuern 3)</v>
      </c>
      <c r="D34" s="11">
        <v>1</v>
      </c>
      <c r="E34" s="156" t="s">
        <v>43</v>
      </c>
      <c r="F34" s="55">
        <f>+HLOOKUP($F$1,KA!$G:$I,ROWS($1:32),FALSE)</f>
        <v>106.47999999999999</v>
      </c>
      <c r="G34" s="56">
        <f>+IF($E34="",0,VLOOKUP($E34,Mengenschlüssel!$C$13:$H$22,COLUMNS($C:E),FALSE)*$F34*$D34)</f>
        <v>106.47999999999999</v>
      </c>
      <c r="H34" s="56">
        <f>+IF($E34="",0,VLOOKUP($E34,Mengenschlüssel!$C$13:$H$22,COLUMNS($C:F),FALSE)*$F34*$D34)</f>
        <v>0</v>
      </c>
      <c r="I34" s="56">
        <f>+IF($E34="",0,VLOOKUP($E34,Mengenschlüssel!$C$13:$H$22,COLUMNS($C:G),FALSE)*$F34*$D34)</f>
        <v>0</v>
      </c>
      <c r="J34" s="56">
        <f>+IF($E34="",0,VLOOKUP($E34,Mengenschlüssel!$C$13:$H$22,COLUMNS($C:H),FALSE)*$F34*$D34)</f>
        <v>0</v>
      </c>
      <c r="K34" s="56">
        <f t="shared" si="0"/>
        <v>106.47999999999999</v>
      </c>
      <c r="L34" s="56">
        <f t="shared" si="1"/>
        <v>0</v>
      </c>
    </row>
    <row r="35" spans="1:12" ht="25.5">
      <c r="A35" s="54">
        <f>+KA!A33</f>
        <v>32</v>
      </c>
      <c r="B35" s="54" t="str">
        <f>+KA!B33</f>
        <v>525510</v>
      </c>
      <c r="C35" s="91" t="str">
        <f>+KA!C33</f>
        <v>Unterhaltung des sonstigen beweglichen Vermögens - Betriebs- und Geschäfts ausstattung</v>
      </c>
      <c r="D35" s="11">
        <v>1</v>
      </c>
      <c r="E35" s="156" t="s">
        <v>37</v>
      </c>
      <c r="F35" s="55">
        <f>+HLOOKUP($F$1,KA!$G:$I,ROWS($1:33),FALSE)</f>
        <v>19971.058799999999</v>
      </c>
      <c r="G35" s="56">
        <f>+IF($E35="",0,VLOOKUP($E35,Mengenschlüssel!$C$13:$H$22,COLUMNS($C:E),FALSE)*$F35*$D35)</f>
        <v>0</v>
      </c>
      <c r="H35" s="56">
        <f>+IF($E35="",0,VLOOKUP($E35,Mengenschlüssel!$C$13:$H$22,COLUMNS($C:F),FALSE)*$F35*$D35)</f>
        <v>0</v>
      </c>
      <c r="I35" s="56">
        <f>+IF($E35="",0,VLOOKUP($E35,Mengenschlüssel!$C$13:$H$22,COLUMNS($C:G),FALSE)*$F35*$D35)</f>
        <v>0</v>
      </c>
      <c r="J35" s="56">
        <f>+IF($E35="",0,VLOOKUP($E35,Mengenschlüssel!$C$13:$H$22,COLUMNS($C:H),FALSE)*$F35*$D35)</f>
        <v>19971.058799999999</v>
      </c>
      <c r="K35" s="56">
        <f t="shared" si="0"/>
        <v>19971.058799999999</v>
      </c>
      <c r="L35" s="56">
        <f t="shared" si="1"/>
        <v>0</v>
      </c>
    </row>
    <row r="36" spans="1:12" ht="25.5">
      <c r="A36" s="54">
        <f>+KA!A34</f>
        <v>33</v>
      </c>
      <c r="B36" s="54" t="str">
        <f>+KA!B34</f>
        <v>525530</v>
      </c>
      <c r="C36" s="91" t="str">
        <f>+KA!C34</f>
        <v>Unterhaltung des sonstigen beweglichen Vermögens - Betriebsvorrichtungen</v>
      </c>
      <c r="D36" s="11">
        <v>1</v>
      </c>
      <c r="E36" s="156" t="s">
        <v>37</v>
      </c>
      <c r="F36" s="55">
        <f>+HLOOKUP($F$1,KA!$G:$I,ROWS($1:34),FALSE)</f>
        <v>689.41000000000008</v>
      </c>
      <c r="G36" s="56">
        <f>+IF($E36="",0,VLOOKUP($E36,Mengenschlüssel!$C$13:$H$22,COLUMNS($C:E),FALSE)*$F36*$D36)</f>
        <v>0</v>
      </c>
      <c r="H36" s="56">
        <f>+IF($E36="",0,VLOOKUP($E36,Mengenschlüssel!$C$13:$H$22,COLUMNS($C:F),FALSE)*$F36*$D36)</f>
        <v>0</v>
      </c>
      <c r="I36" s="56">
        <f>+IF($E36="",0,VLOOKUP($E36,Mengenschlüssel!$C$13:$H$22,COLUMNS($C:G),FALSE)*$F36*$D36)</f>
        <v>0</v>
      </c>
      <c r="J36" s="56">
        <f>+IF($E36="",0,VLOOKUP($E36,Mengenschlüssel!$C$13:$H$22,COLUMNS($C:H),FALSE)*$F36*$D36)</f>
        <v>689.41000000000008</v>
      </c>
      <c r="K36" s="56">
        <f t="shared" si="0"/>
        <v>689.41000000000008</v>
      </c>
      <c r="L36" s="56">
        <f t="shared" si="1"/>
        <v>0</v>
      </c>
    </row>
    <row r="37" spans="1:12" ht="25.5">
      <c r="A37" s="54">
        <f>+KA!A35</f>
        <v>34</v>
      </c>
      <c r="B37" s="54" t="str">
        <f>+KA!B35</f>
        <v>528110</v>
      </c>
      <c r="C37" s="91" t="str">
        <f>+KA!C35</f>
        <v>Aufwendungen für sonstige Sachleistungen - Ver- und Gebrauchsmaterialien</v>
      </c>
      <c r="D37" s="11">
        <v>0.4</v>
      </c>
      <c r="E37" s="156" t="s">
        <v>37</v>
      </c>
      <c r="F37" s="55">
        <f>+HLOOKUP($F$1,KA!$G:$I,ROWS($1:35),FALSE)</f>
        <v>17878.352099999996</v>
      </c>
      <c r="G37" s="56">
        <f>+IF($E37="",0,VLOOKUP($E37,Mengenschlüssel!$C$13:$H$22,COLUMNS($C:E),FALSE)*$F37*$D37)</f>
        <v>0</v>
      </c>
      <c r="H37" s="56">
        <f>+IF($E37="",0,VLOOKUP($E37,Mengenschlüssel!$C$13:$H$22,COLUMNS($C:F),FALSE)*$F37*$D37)</f>
        <v>0</v>
      </c>
      <c r="I37" s="56">
        <f>+IF($E37="",0,VLOOKUP($E37,Mengenschlüssel!$C$13:$H$22,COLUMNS($C:G),FALSE)*$F37*$D37)</f>
        <v>0</v>
      </c>
      <c r="J37" s="56">
        <f>+IF($E37="",0,VLOOKUP($E37,Mengenschlüssel!$C$13:$H$22,COLUMNS($C:H),FALSE)*$F37*$D37)</f>
        <v>7151.3408399999989</v>
      </c>
      <c r="K37" s="56">
        <f t="shared" si="0"/>
        <v>7151.3408399999989</v>
      </c>
      <c r="L37" s="56">
        <f t="shared" si="1"/>
        <v>-10727.011259999997</v>
      </c>
    </row>
    <row r="38" spans="1:12">
      <c r="A38" s="54">
        <f>+KA!A36</f>
        <v>35</v>
      </c>
      <c r="B38" s="54" t="str">
        <f>+KA!B36</f>
        <v>528190</v>
      </c>
      <c r="C38" s="91" t="str">
        <f>+KA!C36</f>
        <v>Aufwendungen für sonstige Sachleistungen</v>
      </c>
      <c r="D38" s="11">
        <v>1</v>
      </c>
      <c r="E38" s="156" t="s">
        <v>45</v>
      </c>
      <c r="F38" s="55">
        <f>+HLOOKUP($F$1,KA!$G:$I,ROWS($1:36),FALSE)</f>
        <v>1485.72</v>
      </c>
      <c r="G38" s="56">
        <f>+IF($E38="",0,VLOOKUP($E38,Mengenschlüssel!$C$13:$H$22,COLUMNS($C:E),FALSE)*$F38*$D38)</f>
        <v>0</v>
      </c>
      <c r="H38" s="56">
        <f>+IF($E38="",0,VLOOKUP($E38,Mengenschlüssel!$C$13:$H$22,COLUMNS($C:F),FALSE)*$F38*$D38)</f>
        <v>1485.72</v>
      </c>
      <c r="I38" s="56">
        <f>+IF($E38="",0,VLOOKUP($E38,Mengenschlüssel!$C$13:$H$22,COLUMNS($C:G),FALSE)*$F38*$D38)</f>
        <v>0</v>
      </c>
      <c r="J38" s="56">
        <f>+IF($E38="",0,VLOOKUP($E38,Mengenschlüssel!$C$13:$H$22,COLUMNS($C:H),FALSE)*$F38*$D38)</f>
        <v>0</v>
      </c>
      <c r="K38" s="56">
        <f t="shared" si="0"/>
        <v>1485.72</v>
      </c>
      <c r="L38" s="56">
        <f t="shared" si="1"/>
        <v>0</v>
      </c>
    </row>
    <row r="39" spans="1:12">
      <c r="A39" s="54">
        <f>+KA!A37</f>
        <v>36</v>
      </c>
      <c r="B39" s="54" t="str">
        <f>+KA!B37</f>
        <v>529190</v>
      </c>
      <c r="C39" s="91" t="str">
        <f>+KA!C37</f>
        <v>Sonstige Dienstleistungen durch Dritte</v>
      </c>
      <c r="D39" s="11">
        <v>1</v>
      </c>
      <c r="E39" s="156" t="s">
        <v>45</v>
      </c>
      <c r="F39" s="55">
        <f>+HLOOKUP($F$1,KA!$G:$I,ROWS($1:37),FALSE)</f>
        <v>3338.04</v>
      </c>
      <c r="G39" s="56">
        <f>+IF($E39="",0,VLOOKUP($E39,Mengenschlüssel!$C$13:$H$22,COLUMNS($C:E),FALSE)*$F39*$D39)</f>
        <v>0</v>
      </c>
      <c r="H39" s="56">
        <f>+IF($E39="",0,VLOOKUP($E39,Mengenschlüssel!$C$13:$H$22,COLUMNS($C:F),FALSE)*$F39*$D39)</f>
        <v>3338.04</v>
      </c>
      <c r="I39" s="56">
        <f>+IF($E39="",0,VLOOKUP($E39,Mengenschlüssel!$C$13:$H$22,COLUMNS($C:G),FALSE)*$F39*$D39)</f>
        <v>0</v>
      </c>
      <c r="J39" s="56">
        <f>+IF($E39="",0,VLOOKUP($E39,Mengenschlüssel!$C$13:$H$22,COLUMNS($C:H),FALSE)*$F39*$D39)</f>
        <v>0</v>
      </c>
      <c r="K39" s="56">
        <f t="shared" si="0"/>
        <v>3338.04</v>
      </c>
      <c r="L39" s="56">
        <f t="shared" si="1"/>
        <v>0</v>
      </c>
    </row>
    <row r="40" spans="1:12" ht="25.5">
      <c r="A40" s="54">
        <f>+KA!A38</f>
        <v>37</v>
      </c>
      <c r="B40" s="54" t="str">
        <f>+KA!B38</f>
        <v>531890</v>
      </c>
      <c r="C40" s="91" t="str">
        <f>+KA!C38</f>
        <v>Zuweisungen und  Zuschüsse für laufende Zwecke an übrige Bereiche - Sonstige</v>
      </c>
      <c r="D40" s="11">
        <v>0</v>
      </c>
      <c r="E40" s="156"/>
      <c r="F40" s="55">
        <f>+HLOOKUP($F$1,KA!$G:$I,ROWS($1:38),FALSE)</f>
        <v>3600</v>
      </c>
      <c r="G40" s="56">
        <f>+IF($E40="",0,VLOOKUP($E40,Mengenschlüssel!$C$13:$H$22,COLUMNS($C:E),FALSE)*$F40*$D40)</f>
        <v>0</v>
      </c>
      <c r="H40" s="56">
        <f>+IF($E40="",0,VLOOKUP($E40,Mengenschlüssel!$C$13:$H$22,COLUMNS($C:F),FALSE)*$F40*$D40)</f>
        <v>0</v>
      </c>
      <c r="I40" s="56">
        <f>+IF($E40="",0,VLOOKUP($E40,Mengenschlüssel!$C$13:$H$22,COLUMNS($C:G),FALSE)*$F40*$D40)</f>
        <v>0</v>
      </c>
      <c r="J40" s="56">
        <f>+IF($E40="",0,VLOOKUP($E40,Mengenschlüssel!$C$13:$H$22,COLUMNS($C:H),FALSE)*$F40*$D40)</f>
        <v>0</v>
      </c>
      <c r="K40" s="56">
        <f t="shared" si="0"/>
        <v>0</v>
      </c>
      <c r="L40" s="56">
        <f t="shared" si="1"/>
        <v>-3600</v>
      </c>
    </row>
    <row r="41" spans="1:12" ht="25.5">
      <c r="A41" s="54">
        <f>+KA!A39</f>
        <v>38</v>
      </c>
      <c r="B41" s="54" t="str">
        <f>+KA!B39</f>
        <v>541211</v>
      </c>
      <c r="C41" s="91" t="str">
        <f>+KA!C39</f>
        <v>Besondere Aufwendungen für Be schäftigte - Fortbildung Dez I</v>
      </c>
      <c r="D41" s="11">
        <v>1</v>
      </c>
      <c r="E41" s="156" t="s">
        <v>45</v>
      </c>
      <c r="F41" s="55">
        <f>+HLOOKUP($F$1,KA!$G:$I,ROWS($1:39),FALSE)</f>
        <v>17505.439999999999</v>
      </c>
      <c r="G41" s="56">
        <f>+IF($E41="",0,VLOOKUP($E41,Mengenschlüssel!$C$13:$H$22,COLUMNS($C:E),FALSE)*$F41*$D41)</f>
        <v>0</v>
      </c>
      <c r="H41" s="56">
        <f>+IF($E41="",0,VLOOKUP($E41,Mengenschlüssel!$C$13:$H$22,COLUMNS($C:F),FALSE)*$F41*$D41)</f>
        <v>17505.439999999999</v>
      </c>
      <c r="I41" s="56">
        <f>+IF($E41="",0,VLOOKUP($E41,Mengenschlüssel!$C$13:$H$22,COLUMNS($C:G),FALSE)*$F41*$D41)</f>
        <v>0</v>
      </c>
      <c r="J41" s="56">
        <f>+IF($E41="",0,VLOOKUP($E41,Mengenschlüssel!$C$13:$H$22,COLUMNS($C:H),FALSE)*$F41*$D41)</f>
        <v>0</v>
      </c>
      <c r="K41" s="56">
        <f t="shared" si="0"/>
        <v>17505.439999999999</v>
      </c>
      <c r="L41" s="56">
        <f t="shared" si="1"/>
        <v>0</v>
      </c>
    </row>
    <row r="42" spans="1:12">
      <c r="A42" s="54">
        <f>+KA!A40</f>
        <v>39</v>
      </c>
      <c r="B42" s="54" t="str">
        <f>+KA!B40</f>
        <v>542120</v>
      </c>
      <c r="C42" s="91" t="str">
        <f>+KA!C40</f>
        <v>Aufwendungen für die freiwillige Feuerwehr</v>
      </c>
      <c r="D42" s="11">
        <v>0</v>
      </c>
      <c r="E42" s="156" t="s">
        <v>45</v>
      </c>
      <c r="F42" s="55">
        <f>+HLOOKUP($F$1,KA!$G:$I,ROWS($1:40),FALSE)</f>
        <v>40415.7978</v>
      </c>
      <c r="G42" s="56">
        <f>+IF($E42="",0,VLOOKUP($E42,Mengenschlüssel!$C$13:$H$22,COLUMNS($C:E),FALSE)*$F42*$D42)</f>
        <v>0</v>
      </c>
      <c r="H42" s="56">
        <f>+IF($E42="",0,VLOOKUP($E42,Mengenschlüssel!$C$13:$H$22,COLUMNS($C:F),FALSE)*$F42*$D42)</f>
        <v>0</v>
      </c>
      <c r="I42" s="56">
        <f>+IF($E42="",0,VLOOKUP($E42,Mengenschlüssel!$C$13:$H$22,COLUMNS($C:G),FALSE)*$F42*$D42)</f>
        <v>0</v>
      </c>
      <c r="J42" s="56">
        <f>+IF($E42="",0,VLOOKUP($E42,Mengenschlüssel!$C$13:$H$22,COLUMNS($C:H),FALSE)*$F42*$D42)</f>
        <v>0</v>
      </c>
      <c r="K42" s="56">
        <f t="shared" si="0"/>
        <v>0</v>
      </c>
      <c r="L42" s="56">
        <f t="shared" si="1"/>
        <v>-40415.7978</v>
      </c>
    </row>
    <row r="43" spans="1:12">
      <c r="A43" s="54">
        <f>+KA!A41</f>
        <v>40</v>
      </c>
      <c r="B43" s="54" t="str">
        <f>+KA!B41</f>
        <v>544110</v>
      </c>
      <c r="C43" s="91" t="str">
        <f>+KA!C41</f>
        <v>Versicherungsbeiträge (ohne KfZ)</v>
      </c>
      <c r="D43" s="11">
        <v>1</v>
      </c>
      <c r="E43" s="156" t="s">
        <v>45</v>
      </c>
      <c r="F43" s="55">
        <f>+HLOOKUP($F$1,KA!$G:$I,ROWS($1:41),FALSE)</f>
        <v>18385.010000000002</v>
      </c>
      <c r="G43" s="56">
        <f>+IF($E43="",0,VLOOKUP($E43,Mengenschlüssel!$C$13:$H$22,COLUMNS($C:E),FALSE)*$F43*$D43)</f>
        <v>0</v>
      </c>
      <c r="H43" s="56">
        <f>+IF($E43="",0,VLOOKUP($E43,Mengenschlüssel!$C$13:$H$22,COLUMNS($C:F),FALSE)*$F43*$D43)</f>
        <v>18385.010000000002</v>
      </c>
      <c r="I43" s="56">
        <f>+IF($E43="",0,VLOOKUP($E43,Mengenschlüssel!$C$13:$H$22,COLUMNS($C:G),FALSE)*$F43*$D43)</f>
        <v>0</v>
      </c>
      <c r="J43" s="56">
        <f>+IF($E43="",0,VLOOKUP($E43,Mengenschlüssel!$C$13:$H$22,COLUMNS($C:H),FALSE)*$F43*$D43)</f>
        <v>0</v>
      </c>
      <c r="K43" s="56">
        <f t="shared" ref="K43:K54" si="2">SUM(G43:J43)</f>
        <v>18385.010000000002</v>
      </c>
      <c r="L43" s="56">
        <f t="shared" ref="L43:L54" si="3">+K43-F43</f>
        <v>0</v>
      </c>
    </row>
    <row r="44" spans="1:12" ht="25.5">
      <c r="A44" s="54">
        <f>+KA!A42</f>
        <v>41</v>
      </c>
      <c r="B44" s="54" t="str">
        <f>+KA!B42</f>
        <v>571100</v>
      </c>
      <c r="C44" s="91" t="str">
        <f>+KA!C42</f>
        <v>Abschreibungen auf Sachanlagen und immaterielle Vermögensgegenstände</v>
      </c>
      <c r="D44" s="11">
        <v>0</v>
      </c>
      <c r="E44" s="156"/>
      <c r="F44" s="55">
        <f>+HLOOKUP($F$1,KA!$G:$I,ROWS($1:42),FALSE)</f>
        <v>389627.33999999997</v>
      </c>
      <c r="G44" s="56">
        <f>+IF($E44="",0,VLOOKUP($E44,Mengenschlüssel!$C$13:$H$22,COLUMNS($C:E),FALSE)*$F44*$D44)</f>
        <v>0</v>
      </c>
      <c r="H44" s="56">
        <f>+IF($E44="",0,VLOOKUP($E44,Mengenschlüssel!$C$13:$H$22,COLUMNS($C:F),FALSE)*$F44*$D44)</f>
        <v>0</v>
      </c>
      <c r="I44" s="56">
        <f>+IF($E44="",0,VLOOKUP($E44,Mengenschlüssel!$C$13:$H$22,COLUMNS($C:G),FALSE)*$F44*$D44)</f>
        <v>0</v>
      </c>
      <c r="J44" s="56">
        <f>+IF($E44="",0,VLOOKUP($E44,Mengenschlüssel!$C$13:$H$22,COLUMNS($C:H),FALSE)*$F44*$D44)</f>
        <v>0</v>
      </c>
      <c r="K44" s="56">
        <f t="shared" si="2"/>
        <v>0</v>
      </c>
      <c r="L44" s="56">
        <f t="shared" si="3"/>
        <v>-389627.33999999997</v>
      </c>
    </row>
    <row r="45" spans="1:12">
      <c r="A45" s="54">
        <f>+KA!A43</f>
        <v>42</v>
      </c>
      <c r="B45" s="54">
        <f>+KA!B43</f>
        <v>0</v>
      </c>
      <c r="C45" s="91" t="str">
        <f>+KA!C43</f>
        <v>allgemeine Verwaltung</v>
      </c>
      <c r="D45" s="11">
        <v>1</v>
      </c>
      <c r="E45" s="156" t="s">
        <v>37</v>
      </c>
      <c r="F45" s="55">
        <f>+HLOOKUP($F$1,KA!$G:$I,ROWS($1:43),FALSE)</f>
        <v>74485.708124039083</v>
      </c>
      <c r="G45" s="56">
        <f>+IF($E45="",0,VLOOKUP($E45,Mengenschlüssel!$C$13:$H$22,COLUMNS($C:E),FALSE)*$F45*$D45)</f>
        <v>0</v>
      </c>
      <c r="H45" s="56">
        <f>+IF($E45="",0,VLOOKUP($E45,Mengenschlüssel!$C$13:$H$22,COLUMNS($C:F),FALSE)*$F45*$D45)</f>
        <v>0</v>
      </c>
      <c r="I45" s="56">
        <f>+IF($E45="",0,VLOOKUP($E45,Mengenschlüssel!$C$13:$H$22,COLUMNS($C:G),FALSE)*$F45*$D45)</f>
        <v>0</v>
      </c>
      <c r="J45" s="56">
        <f>+IF($E45="",0,VLOOKUP($E45,Mengenschlüssel!$C$13:$H$22,COLUMNS($C:H),FALSE)*$F45*$D45)</f>
        <v>74485.708124039083</v>
      </c>
      <c r="K45" s="56">
        <f t="shared" si="2"/>
        <v>74485.708124039083</v>
      </c>
      <c r="L45" s="56">
        <f t="shared" si="3"/>
        <v>0</v>
      </c>
    </row>
    <row r="46" spans="1:12">
      <c r="A46" s="54">
        <f>+KA!A44</f>
        <v>43</v>
      </c>
      <c r="B46" s="54" t="str">
        <f>+KA!B44</f>
        <v>573120</v>
      </c>
      <c r="C46" s="91" t="str">
        <f>+KA!C44</f>
        <v>Forderungsverluste</v>
      </c>
      <c r="D46" s="11">
        <v>0</v>
      </c>
      <c r="E46" s="156"/>
      <c r="F46" s="55">
        <f>+HLOOKUP($F$1,KA!$G:$I,ROWS($1:44),FALSE)</f>
        <v>1183.47</v>
      </c>
      <c r="G46" s="56">
        <f>+IF($E46="",0,VLOOKUP($E46,Mengenschlüssel!$C$13:$H$22,COLUMNS($C:E),FALSE)*$F46*$D46)</f>
        <v>0</v>
      </c>
      <c r="H46" s="56">
        <f>+IF($E46="",0,VLOOKUP($E46,Mengenschlüssel!$C$13:$H$22,COLUMNS($C:F),FALSE)*$F46*$D46)</f>
        <v>0</v>
      </c>
      <c r="I46" s="56">
        <f>+IF($E46="",0,VLOOKUP($E46,Mengenschlüssel!$C$13:$H$22,COLUMNS($C:G),FALSE)*$F46*$D46)</f>
        <v>0</v>
      </c>
      <c r="J46" s="56">
        <f>+IF($E46="",0,VLOOKUP($E46,Mengenschlüssel!$C$13:$H$22,COLUMNS($C:H),FALSE)*$F46*$D46)</f>
        <v>0</v>
      </c>
      <c r="K46" s="56">
        <f t="shared" si="2"/>
        <v>0</v>
      </c>
      <c r="L46" s="56">
        <f t="shared" si="3"/>
        <v>-1183.47</v>
      </c>
    </row>
    <row r="47" spans="1:12">
      <c r="A47" s="54">
        <f>+A46+1</f>
        <v>44</v>
      </c>
      <c r="B47" s="54"/>
      <c r="C47" s="92" t="s">
        <v>31</v>
      </c>
      <c r="D47" s="11">
        <v>1</v>
      </c>
      <c r="E47" s="156" t="s">
        <v>43</v>
      </c>
      <c r="F47" s="55">
        <f>+HLOOKUP($F$1,Anlagen!$L$108:$N$112,ROWS($1:2),FALSE)</f>
        <v>4756.6110000000008</v>
      </c>
      <c r="G47" s="56">
        <f>+IF($E47="",0,VLOOKUP($E47,Mengenschlüssel!$C$13:$H$22,COLUMNS($C:E),FALSE)*$F47*$D47)</f>
        <v>4756.6110000000008</v>
      </c>
      <c r="H47" s="56">
        <f>+IF($E47="",0,VLOOKUP($E47,Mengenschlüssel!$C$13:$H$22,COLUMNS($C:F),FALSE)*$F47*$D47)</f>
        <v>0</v>
      </c>
      <c r="I47" s="56">
        <f>+IF($E47="",0,VLOOKUP($E47,Mengenschlüssel!$C$13:$H$22,COLUMNS($C:G),FALSE)*$F47*$D47)</f>
        <v>0</v>
      </c>
      <c r="J47" s="56">
        <f>+IF($E47="",0,VLOOKUP($E47,Mengenschlüssel!$C$13:$H$22,COLUMNS($C:H),FALSE)*$F47*$D47)</f>
        <v>0</v>
      </c>
      <c r="K47" s="56">
        <f t="shared" si="2"/>
        <v>4756.6110000000008</v>
      </c>
      <c r="L47" s="56">
        <f t="shared" si="3"/>
        <v>0</v>
      </c>
    </row>
    <row r="48" spans="1:12">
      <c r="A48" s="54">
        <f t="shared" ref="A48:A68" si="4">+A47+1</f>
        <v>45</v>
      </c>
      <c r="B48" s="54"/>
      <c r="C48" s="92" t="s">
        <v>31</v>
      </c>
      <c r="D48" s="11">
        <v>1</v>
      </c>
      <c r="E48" s="156" t="s">
        <v>45</v>
      </c>
      <c r="F48" s="55">
        <f>+HLOOKUP($F$1,Anlagen!$L$108:$N$112,ROWS($1:3),FALSE)</f>
        <v>2194.7060000000001</v>
      </c>
      <c r="G48" s="56">
        <f>+IF($E48="",0,VLOOKUP($E48,Mengenschlüssel!$C$13:$H$22,COLUMNS($C:E),FALSE)*$F48*$D48)</f>
        <v>0</v>
      </c>
      <c r="H48" s="56">
        <f>+IF($E48="",0,VLOOKUP($E48,Mengenschlüssel!$C$13:$H$22,COLUMNS($C:F),FALSE)*$F48*$D48)</f>
        <v>2194.7060000000001</v>
      </c>
      <c r="I48" s="56">
        <f>+IF($E48="",0,VLOOKUP($E48,Mengenschlüssel!$C$13:$H$22,COLUMNS($C:G),FALSE)*$F48*$D48)</f>
        <v>0</v>
      </c>
      <c r="J48" s="56">
        <f>+IF($E48="",0,VLOOKUP($E48,Mengenschlüssel!$C$13:$H$22,COLUMNS($C:H),FALSE)*$F48*$D48)</f>
        <v>0</v>
      </c>
      <c r="K48" s="56">
        <f t="shared" si="2"/>
        <v>2194.7060000000001</v>
      </c>
      <c r="L48" s="56">
        <f t="shared" si="3"/>
        <v>0</v>
      </c>
    </row>
    <row r="49" spans="1:12">
      <c r="A49" s="54">
        <f t="shared" si="4"/>
        <v>46</v>
      </c>
      <c r="B49" s="54"/>
      <c r="C49" s="92" t="s">
        <v>31</v>
      </c>
      <c r="D49" s="11">
        <v>1</v>
      </c>
      <c r="E49" s="156" t="s">
        <v>53</v>
      </c>
      <c r="F49" s="55">
        <f>+HLOOKUP($F$1,Anlagen!$L$108:$N$112,ROWS($1:4),FALSE)</f>
        <v>128942.79010900001</v>
      </c>
      <c r="G49" s="56">
        <f>+IF($E49="",0,VLOOKUP($E49,Mengenschlüssel!$C$13:$H$22,COLUMNS($C:E),FALSE)*$F49*$D49)</f>
        <v>0</v>
      </c>
      <c r="H49" s="56">
        <f>+IF($E49="",0,VLOOKUP($E49,Mengenschlüssel!$C$13:$H$22,COLUMNS($C:F),FALSE)*$F49*$D49)</f>
        <v>0</v>
      </c>
      <c r="I49" s="56">
        <f>+IF($E49="",0,VLOOKUP($E49,Mengenschlüssel!$C$13:$H$22,COLUMNS($C:G),FALSE)*$F49*$D49)</f>
        <v>128942.79010900001</v>
      </c>
      <c r="J49" s="56">
        <f>+IF($E49="",0,VLOOKUP($E49,Mengenschlüssel!$C$13:$H$22,COLUMNS($C:H),FALSE)*$F49*$D49)</f>
        <v>0</v>
      </c>
      <c r="K49" s="56">
        <f t="shared" si="2"/>
        <v>128942.79010900001</v>
      </c>
      <c r="L49" s="56">
        <f t="shared" si="3"/>
        <v>0</v>
      </c>
    </row>
    <row r="50" spans="1:12">
      <c r="A50" s="54">
        <f t="shared" si="4"/>
        <v>47</v>
      </c>
      <c r="B50" s="54"/>
      <c r="C50" s="92" t="s">
        <v>31</v>
      </c>
      <c r="D50" s="11">
        <v>1</v>
      </c>
      <c r="E50" s="156" t="s">
        <v>37</v>
      </c>
      <c r="F50" s="55">
        <f>+HLOOKUP($F$1,Anlagen!$L$108:$N$112,ROWS($1:5),FALSE)</f>
        <v>12440.187999999998</v>
      </c>
      <c r="G50" s="56">
        <f>+IF($E50="",0,VLOOKUP($E50,Mengenschlüssel!$C$13:$H$22,COLUMNS($C:E),FALSE)*$F50*$D50)</f>
        <v>0</v>
      </c>
      <c r="H50" s="56">
        <f>+IF($E50="",0,VLOOKUP($E50,Mengenschlüssel!$C$13:$H$22,COLUMNS($C:F),FALSE)*$F50*$D50)</f>
        <v>0</v>
      </c>
      <c r="I50" s="56">
        <f>+IF($E50="",0,VLOOKUP($E50,Mengenschlüssel!$C$13:$H$22,COLUMNS($C:G),FALSE)*$F50*$D50)</f>
        <v>0</v>
      </c>
      <c r="J50" s="56">
        <f>+IF($E50="",0,VLOOKUP($E50,Mengenschlüssel!$C$13:$H$22,COLUMNS($C:H),FALSE)*$F50*$D50)</f>
        <v>12440.187999999998</v>
      </c>
      <c r="K50" s="56">
        <f t="shared" si="2"/>
        <v>12440.187999999998</v>
      </c>
      <c r="L50" s="56">
        <f t="shared" si="3"/>
        <v>0</v>
      </c>
    </row>
    <row r="51" spans="1:12">
      <c r="A51" s="54">
        <f t="shared" si="4"/>
        <v>48</v>
      </c>
      <c r="B51" s="54"/>
      <c r="C51" s="92" t="s">
        <v>30</v>
      </c>
      <c r="D51" s="11">
        <v>1</v>
      </c>
      <c r="E51" s="156" t="s">
        <v>43</v>
      </c>
      <c r="F51" s="55">
        <f>+HLOOKUP($F$1,Anlagen!$P$108:$R$112,ROWS($1:2),FALSE)</f>
        <v>2156.5497470833334</v>
      </c>
      <c r="G51" s="56">
        <f>+IF($E51="",0,VLOOKUP($E51,Mengenschlüssel!$C$13:$H$22,COLUMNS($C:E),FALSE)*$F51*$D51)</f>
        <v>2156.5497470833334</v>
      </c>
      <c r="H51" s="56">
        <f>+IF($E51="",0,VLOOKUP($E51,Mengenschlüssel!$C$13:$H$22,COLUMNS($C:F),FALSE)*$F51*$D51)</f>
        <v>0</v>
      </c>
      <c r="I51" s="56">
        <f>+IF($E51="",0,VLOOKUP($E51,Mengenschlüssel!$C$13:$H$22,COLUMNS($C:G),FALSE)*$F51*$D51)</f>
        <v>0</v>
      </c>
      <c r="J51" s="56">
        <f>+IF($E51="",0,VLOOKUP($E51,Mengenschlüssel!$C$13:$H$22,COLUMNS($C:H),FALSE)*$F51*$D51)</f>
        <v>0</v>
      </c>
      <c r="K51" s="56">
        <f t="shared" si="2"/>
        <v>2156.5497470833334</v>
      </c>
      <c r="L51" s="56">
        <f t="shared" si="3"/>
        <v>0</v>
      </c>
    </row>
    <row r="52" spans="1:12">
      <c r="A52" s="54">
        <f t="shared" si="4"/>
        <v>49</v>
      </c>
      <c r="B52" s="54"/>
      <c r="C52" s="92" t="s">
        <v>30</v>
      </c>
      <c r="D52" s="11">
        <v>1</v>
      </c>
      <c r="E52" s="156" t="s">
        <v>45</v>
      </c>
      <c r="F52" s="55">
        <f>+HLOOKUP($F$1,Anlagen!$P$108:$R$112,ROWS($1:3),FALSE)</f>
        <v>929.9308850000001</v>
      </c>
      <c r="G52" s="56">
        <f>+IF($E52="",0,VLOOKUP($E52,Mengenschlüssel!$C$13:$H$22,COLUMNS($C:E),FALSE)*$F52*$D52)</f>
        <v>0</v>
      </c>
      <c r="H52" s="56">
        <f>+IF($E52="",0,VLOOKUP($E52,Mengenschlüssel!$C$13:$H$22,COLUMNS($C:F),FALSE)*$F52*$D52)</f>
        <v>929.9308850000001</v>
      </c>
      <c r="I52" s="56">
        <f>+IF($E52="",0,VLOOKUP($E52,Mengenschlüssel!$C$13:$H$22,COLUMNS($C:G),FALSE)*$F52*$D52)</f>
        <v>0</v>
      </c>
      <c r="J52" s="56">
        <f>+IF($E52="",0,VLOOKUP($E52,Mengenschlüssel!$C$13:$H$22,COLUMNS($C:H),FALSE)*$F52*$D52)</f>
        <v>0</v>
      </c>
      <c r="K52" s="56">
        <f t="shared" si="2"/>
        <v>929.9308850000001</v>
      </c>
      <c r="L52" s="56">
        <f t="shared" si="3"/>
        <v>0</v>
      </c>
    </row>
    <row r="53" spans="1:12">
      <c r="A53" s="54">
        <f t="shared" si="4"/>
        <v>50</v>
      </c>
      <c r="B53" s="54"/>
      <c r="C53" s="92" t="s">
        <v>30</v>
      </c>
      <c r="D53" s="11">
        <v>1</v>
      </c>
      <c r="E53" s="156" t="s">
        <v>53</v>
      </c>
      <c r="F53" s="55">
        <f>+HLOOKUP($F$1,Anlagen!$P$108:$R$112,ROWS($1:4),FALSE)</f>
        <v>362944.75108452147</v>
      </c>
      <c r="G53" s="56">
        <f>+IF($E53="",0,VLOOKUP($E53,Mengenschlüssel!$C$13:$H$22,COLUMNS($C:E),FALSE)*$F53*$D53)</f>
        <v>0</v>
      </c>
      <c r="H53" s="56">
        <f>+IF($E53="",0,VLOOKUP($E53,Mengenschlüssel!$C$13:$H$22,COLUMNS($C:F),FALSE)*$F53*$D53)</f>
        <v>0</v>
      </c>
      <c r="I53" s="56">
        <f>+IF($E53="",0,VLOOKUP($E53,Mengenschlüssel!$C$13:$H$22,COLUMNS($C:G),FALSE)*$F53*$D53)</f>
        <v>362944.75108452147</v>
      </c>
      <c r="J53" s="56">
        <f>+IF($E53="",0,VLOOKUP($E53,Mengenschlüssel!$C$13:$H$22,COLUMNS($C:H),FALSE)*$F53*$D53)</f>
        <v>0</v>
      </c>
      <c r="K53" s="56">
        <f t="shared" si="2"/>
        <v>362944.75108452147</v>
      </c>
      <c r="L53" s="56">
        <f t="shared" si="3"/>
        <v>0</v>
      </c>
    </row>
    <row r="54" spans="1:12">
      <c r="A54" s="54">
        <f t="shared" si="4"/>
        <v>51</v>
      </c>
      <c r="B54" s="54"/>
      <c r="C54" s="92" t="s">
        <v>30</v>
      </c>
      <c r="D54" s="11">
        <v>1</v>
      </c>
      <c r="E54" s="156" t="s">
        <v>37</v>
      </c>
      <c r="F54" s="55">
        <f>+HLOOKUP($F$1,Anlagen!$P$108:$R$112,ROWS($1:5),FALSE)</f>
        <v>2582.7438000000002</v>
      </c>
      <c r="G54" s="56">
        <f>+IF($E54="",0,VLOOKUP($E54,Mengenschlüssel!$C$13:$H$22,COLUMNS($C:E),FALSE)*$F54*$D54)</f>
        <v>0</v>
      </c>
      <c r="H54" s="56">
        <f>+IF($E54="",0,VLOOKUP($E54,Mengenschlüssel!$C$13:$H$22,COLUMNS($C:F),FALSE)*$F54*$D54)</f>
        <v>0</v>
      </c>
      <c r="I54" s="56">
        <f>+IF($E54="",0,VLOOKUP($E54,Mengenschlüssel!$C$13:$H$22,COLUMNS($C:G),FALSE)*$F54*$D54)</f>
        <v>0</v>
      </c>
      <c r="J54" s="56">
        <f>+IF($E54="",0,VLOOKUP($E54,Mengenschlüssel!$C$13:$H$22,COLUMNS($C:H),FALSE)*$F54*$D54)</f>
        <v>2582.7438000000002</v>
      </c>
      <c r="K54" s="56">
        <f t="shared" si="2"/>
        <v>2582.7438000000002</v>
      </c>
      <c r="L54" s="56">
        <f t="shared" si="3"/>
        <v>0</v>
      </c>
    </row>
    <row r="55" spans="1:12" s="13" customFormat="1">
      <c r="A55" s="54">
        <f t="shared" si="4"/>
        <v>52</v>
      </c>
      <c r="B55" s="8"/>
      <c r="C55" s="93" t="s">
        <v>85</v>
      </c>
      <c r="D55" s="8"/>
      <c r="E55" s="58"/>
      <c r="F55" s="59"/>
      <c r="G55" s="60">
        <f>SUM(G4:G54)</f>
        <v>13413.231105847328</v>
      </c>
      <c r="H55" s="60">
        <f t="shared" ref="H55:J55" si="5">SUM(H4:H54)</f>
        <v>39906.756885000003</v>
      </c>
      <c r="I55" s="60">
        <f t="shared" si="5"/>
        <v>661661.18766852142</v>
      </c>
      <c r="J55" s="60">
        <f t="shared" si="5"/>
        <v>135943.95556403909</v>
      </c>
      <c r="K55" s="60">
        <f>SUM(G55:J55)</f>
        <v>850925.13122340781</v>
      </c>
      <c r="L55" s="60"/>
    </row>
    <row r="56" spans="1:12">
      <c r="A56" s="54">
        <f t="shared" si="4"/>
        <v>53</v>
      </c>
      <c r="B56" s="54"/>
      <c r="C56" s="91"/>
      <c r="D56" s="54"/>
      <c r="E56" s="11"/>
      <c r="F56" s="55"/>
      <c r="G56" s="54"/>
      <c r="H56" s="54"/>
      <c r="I56" s="54"/>
      <c r="J56" s="56"/>
      <c r="K56" s="56"/>
      <c r="L56" s="54"/>
    </row>
    <row r="57" spans="1:12">
      <c r="A57" s="54">
        <f t="shared" si="4"/>
        <v>54</v>
      </c>
      <c r="B57" s="54"/>
      <c r="C57" s="92" t="s">
        <v>88</v>
      </c>
      <c r="D57" s="54"/>
      <c r="E57" s="11"/>
      <c r="F57" s="55">
        <f>SUM(G55:I55)</f>
        <v>714981.17565936875</v>
      </c>
      <c r="G57" s="87">
        <f>+G55/$F$57</f>
        <v>1.8760257699760276E-2</v>
      </c>
      <c r="H57" s="87">
        <f t="shared" ref="H57:I57" si="6">+H55/$F$57</f>
        <v>5.5815115479365254E-2</v>
      </c>
      <c r="I57" s="87">
        <f t="shared" si="6"/>
        <v>0.92542462682087445</v>
      </c>
      <c r="J57" s="61"/>
      <c r="K57" s="62">
        <f>SUM(G57:J57)</f>
        <v>1</v>
      </c>
      <c r="L57" s="56"/>
    </row>
    <row r="58" spans="1:12">
      <c r="A58" s="54">
        <f t="shared" si="4"/>
        <v>55</v>
      </c>
      <c r="B58" s="54"/>
      <c r="C58" s="92" t="s">
        <v>89</v>
      </c>
      <c r="D58" s="54"/>
      <c r="E58" s="11"/>
      <c r="F58" s="94">
        <f>SUM(G58:H58)</f>
        <v>3045.3489999999993</v>
      </c>
      <c r="G58" s="172">
        <f>'Berechnung qm'!H8</f>
        <v>1411.627</v>
      </c>
      <c r="H58" s="172">
        <f>'Berechnung qm'!I8</f>
        <v>1633.7219999999995</v>
      </c>
      <c r="I58" s="63"/>
      <c r="J58" s="61"/>
      <c r="K58" s="56"/>
      <c r="L58" s="55"/>
    </row>
    <row r="59" spans="1:12">
      <c r="A59" s="54">
        <f t="shared" si="4"/>
        <v>56</v>
      </c>
      <c r="B59" s="54"/>
      <c r="C59" s="92"/>
      <c r="D59" s="54"/>
      <c r="E59" s="11"/>
      <c r="F59" s="55"/>
      <c r="G59" s="55"/>
      <c r="H59" s="55"/>
      <c r="I59" s="55"/>
      <c r="J59" s="54"/>
      <c r="K59" s="54"/>
      <c r="L59" s="54"/>
    </row>
    <row r="60" spans="1:12">
      <c r="A60" s="54">
        <f t="shared" si="4"/>
        <v>57</v>
      </c>
      <c r="B60" s="54"/>
      <c r="C60" s="92" t="s">
        <v>86</v>
      </c>
      <c r="D60" s="54"/>
      <c r="E60" s="11"/>
      <c r="F60" s="55">
        <f>+J55</f>
        <v>135943.95556403909</v>
      </c>
      <c r="G60" s="55">
        <f>$F$60*G57</f>
        <v>2550.3436391061332</v>
      </c>
      <c r="H60" s="55">
        <f t="shared" ref="H60:I60" si="7">+$F$60*H57</f>
        <v>7587.7275785285401</v>
      </c>
      <c r="I60" s="55">
        <f t="shared" si="7"/>
        <v>125805.88434640442</v>
      </c>
      <c r="J60" s="55"/>
      <c r="K60" s="55">
        <f>SUM(G60:J60)</f>
        <v>135943.95556403909</v>
      </c>
      <c r="L60" s="55">
        <f>+K60-F60</f>
        <v>0</v>
      </c>
    </row>
    <row r="61" spans="1:12">
      <c r="A61" s="54">
        <f t="shared" si="4"/>
        <v>58</v>
      </c>
      <c r="B61" s="54"/>
      <c r="C61" s="92" t="s">
        <v>87</v>
      </c>
      <c r="D61" s="54"/>
      <c r="E61" s="11"/>
      <c r="F61" s="55">
        <f>+I55+I60</f>
        <v>787467.07201492589</v>
      </c>
      <c r="G61" s="64">
        <f>+$F$61/$F$58*G58</f>
        <v>365018.84692598908</v>
      </c>
      <c r="H61" s="64">
        <f>+$F$61/$F$58*H58</f>
        <v>422448.2250889368</v>
      </c>
      <c r="I61" s="64"/>
      <c r="J61" s="54"/>
      <c r="K61" s="56">
        <f>SUM(G61:J61)</f>
        <v>787467.07201492589</v>
      </c>
      <c r="L61" s="55">
        <f>+K61-F61</f>
        <v>0</v>
      </c>
    </row>
    <row r="62" spans="1:12" s="13" customFormat="1">
      <c r="A62" s="54">
        <f t="shared" si="4"/>
        <v>59</v>
      </c>
      <c r="B62" s="8"/>
      <c r="C62" s="93" t="s">
        <v>90</v>
      </c>
      <c r="D62" s="8"/>
      <c r="E62" s="58"/>
      <c r="F62" s="59"/>
      <c r="G62" s="60">
        <f>SUM(G60:G61)</f>
        <v>367569.19056509522</v>
      </c>
      <c r="H62" s="60">
        <f>SUM(H60:H61)</f>
        <v>430035.95266746532</v>
      </c>
      <c r="I62" s="60"/>
      <c r="J62" s="8"/>
      <c r="K62" s="56"/>
      <c r="L62" s="8"/>
    </row>
    <row r="63" spans="1:12">
      <c r="A63" s="54">
        <f t="shared" si="4"/>
        <v>60</v>
      </c>
      <c r="B63" s="54"/>
      <c r="C63" s="91"/>
      <c r="D63" s="54"/>
      <c r="E63" s="11"/>
      <c r="F63" s="55"/>
      <c r="G63" s="54"/>
      <c r="H63" s="54"/>
      <c r="I63" s="54"/>
      <c r="J63" s="54"/>
      <c r="K63" s="54"/>
      <c r="L63" s="54"/>
    </row>
    <row r="64" spans="1:12">
      <c r="A64" s="54">
        <f t="shared" si="4"/>
        <v>61</v>
      </c>
      <c r="B64" s="54"/>
      <c r="C64" s="93" t="s">
        <v>91</v>
      </c>
      <c r="D64" s="54"/>
      <c r="E64" s="11"/>
      <c r="F64" s="55"/>
      <c r="G64" s="60">
        <f>+G62+G55</f>
        <v>380982.42167094257</v>
      </c>
      <c r="H64" s="60">
        <f>+H62+H55</f>
        <v>469942.7095524653</v>
      </c>
      <c r="I64" s="54"/>
      <c r="J64" s="54"/>
      <c r="K64" s="60">
        <f>SUM(G64:J64)</f>
        <v>850925.13122340781</v>
      </c>
      <c r="L64" s="56">
        <f>+K64-K55</f>
        <v>0</v>
      </c>
    </row>
    <row r="65" spans="1:12">
      <c r="A65" s="54">
        <f t="shared" si="4"/>
        <v>62</v>
      </c>
      <c r="B65" s="54"/>
      <c r="C65" s="91"/>
      <c r="D65" s="54"/>
      <c r="E65" s="11"/>
      <c r="F65" s="55"/>
      <c r="G65" s="54"/>
      <c r="H65" s="54"/>
      <c r="I65" s="54"/>
      <c r="J65" s="54"/>
      <c r="K65" s="54"/>
      <c r="L65" s="54"/>
    </row>
    <row r="66" spans="1:12" s="13" customFormat="1">
      <c r="A66" s="54">
        <f t="shared" si="4"/>
        <v>63</v>
      </c>
      <c r="B66" s="8"/>
      <c r="C66" s="93" t="s">
        <v>92</v>
      </c>
      <c r="D66" s="8"/>
      <c r="E66" s="58"/>
      <c r="F66" s="8"/>
      <c r="G66" s="66">
        <f>+KT!G18</f>
        <v>235356.98210888205</v>
      </c>
      <c r="H66" s="65">
        <f>+KT!C27</f>
        <v>2313996.849048824</v>
      </c>
      <c r="I66" s="8"/>
      <c r="J66" s="8"/>
      <c r="K66" s="8"/>
      <c r="L66" s="8"/>
    </row>
    <row r="67" spans="1:12">
      <c r="A67" s="54">
        <f t="shared" si="4"/>
        <v>64</v>
      </c>
      <c r="B67" s="54"/>
      <c r="C67" s="91"/>
      <c r="D67" s="54"/>
      <c r="E67" s="11"/>
      <c r="F67" s="54"/>
      <c r="G67" s="54"/>
      <c r="H67" s="54"/>
      <c r="I67" s="54"/>
      <c r="J67" s="54"/>
      <c r="K67" s="54"/>
      <c r="L67" s="54"/>
    </row>
    <row r="68" spans="1:12">
      <c r="A68" s="54">
        <f t="shared" si="4"/>
        <v>65</v>
      </c>
      <c r="B68" s="54"/>
      <c r="C68" s="92" t="s">
        <v>93</v>
      </c>
      <c r="D68" s="54"/>
      <c r="E68" s="11"/>
      <c r="F68" s="54"/>
      <c r="G68" s="62">
        <f>+G64/G66</f>
        <v>1.6187428061713103</v>
      </c>
      <c r="H68" s="62">
        <f>+H64/H66</f>
        <v>0.20308701359971029</v>
      </c>
      <c r="I68" s="54"/>
      <c r="J68" s="54"/>
      <c r="K68" s="54"/>
      <c r="L68" s="54"/>
    </row>
    <row r="69" spans="1:12">
      <c r="G69" s="12"/>
    </row>
    <row r="70" spans="1:12">
      <c r="G70" s="12"/>
      <c r="H70" s="12"/>
    </row>
    <row r="71" spans="1:12">
      <c r="G71" s="12"/>
    </row>
    <row r="72" spans="1:12">
      <c r="G72" s="12"/>
    </row>
    <row r="73" spans="1:12">
      <c r="G73" s="12"/>
    </row>
  </sheetData>
  <mergeCells count="1">
    <mergeCell ref="G2:J2"/>
  </mergeCells>
  <dataValidations count="2">
    <dataValidation type="list" allowBlank="1" showInputMessage="1" showErrorMessage="1" errorTitle="Falsche Eingabe" error="Es kann nur 0 oder 1 eingegeben werden, um die Kosten auf die jeweiligen Kostenstellen zu verteilen!" sqref="D47:D54">
      <formula1>"0,1"</formula1>
    </dataValidation>
    <dataValidation type="decimal" allowBlank="1" showInputMessage="1" showErrorMessage="1" errorTitle="Falsche Eingabe" error="Es kann nur 0 oder 1 eingegeben werden, um die Kosten auf die jeweiligen Kostenstellen zu verteilen!" sqref="D4:D46">
      <formula1>0</formula1>
      <formula2>1</formula2>
    </dataValidation>
  </dataValidations>
  <printOptions headings="1" gridLines="1"/>
  <pageMargins left="0.23622047244094491" right="0.23622047244094491" top="0.74803149606299213" bottom="0.74803149606299213" header="0.31496062992125984" footer="0.31496062992125984"/>
  <pageSetup paperSize="9" scale="79" fitToHeight="0" orientation="landscape" r:id="rId1"/>
  <headerFooter>
    <oddFooter>&amp;L&amp;A&amp;R&amp;P/&amp;N</oddFoot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errorTitle="Falsche Eingabe" error="Bitte wählen Sie einen korrekten Buchungsschlüssel aus (s.h. Tabelle Mengenschlüssel)">
          <x14:formula1>
            <xm:f>Mengenschlüssel!$C$13:$C$22</xm:f>
          </x14:formula1>
          <xm:sqref>E4:E54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P36"/>
  <sheetViews>
    <sheetView topLeftCell="F1" zoomScale="145" zoomScaleNormal="145" workbookViewId="0">
      <selection activeCell="H36" sqref="H36"/>
    </sheetView>
  </sheetViews>
  <sheetFormatPr baseColWidth="10" defaultRowHeight="12.75"/>
  <cols>
    <col min="1" max="1" width="28.85546875" bestFit="1" customWidth="1"/>
    <col min="2" max="2" width="16.140625" bestFit="1" customWidth="1"/>
    <col min="3" max="3" width="16.42578125" customWidth="1"/>
    <col min="4" max="4" width="14.140625" customWidth="1"/>
    <col min="5" max="5" width="14.85546875" bestFit="1" customWidth="1"/>
    <col min="6" max="6" width="13.140625" bestFit="1" customWidth="1"/>
    <col min="7" max="7" width="15.140625" bestFit="1" customWidth="1"/>
    <col min="8" max="8" width="16.140625" customWidth="1"/>
    <col min="9" max="10" width="15.7109375" bestFit="1" customWidth="1"/>
    <col min="11" max="11" width="12.28515625" customWidth="1"/>
    <col min="12" max="12" width="18.42578125" customWidth="1"/>
    <col min="13" max="15" width="9.5703125" style="10" bestFit="1" customWidth="1"/>
    <col min="16" max="16" width="12.7109375" customWidth="1"/>
    <col min="17" max="17" width="12.140625" bestFit="1" customWidth="1"/>
  </cols>
  <sheetData>
    <row r="1" spans="1:16">
      <c r="A1" t="s">
        <v>94</v>
      </c>
      <c r="D1">
        <v>2016</v>
      </c>
      <c r="F1" t="s">
        <v>120</v>
      </c>
      <c r="G1">
        <v>2000</v>
      </c>
      <c r="H1" s="7"/>
    </row>
    <row r="2" spans="1:16">
      <c r="I2" s="116"/>
    </row>
    <row r="3" spans="1:16" s="163" customFormat="1" ht="25.5">
      <c r="A3" s="42" t="s">
        <v>42</v>
      </c>
      <c r="B3" s="42" t="s">
        <v>95</v>
      </c>
      <c r="C3" s="42" t="s">
        <v>30</v>
      </c>
      <c r="D3" s="44" t="s">
        <v>444</v>
      </c>
      <c r="E3" s="42" t="s">
        <v>443</v>
      </c>
      <c r="F3" s="42" t="s">
        <v>54</v>
      </c>
      <c r="G3" s="42" t="s">
        <v>15</v>
      </c>
      <c r="H3" s="42" t="s">
        <v>96</v>
      </c>
      <c r="I3" s="42" t="s">
        <v>97</v>
      </c>
      <c r="J3" s="42" t="s">
        <v>98</v>
      </c>
      <c r="K3" s="42" t="s">
        <v>15</v>
      </c>
      <c r="L3" s="42" t="s">
        <v>99</v>
      </c>
      <c r="M3" s="44">
        <f>+Anlagen!L1</f>
        <v>2016</v>
      </c>
      <c r="N3" s="44">
        <f>+Anlagen!M1</f>
        <v>2017</v>
      </c>
      <c r="O3" s="44">
        <f>+Anlagen!N1</f>
        <v>2018</v>
      </c>
      <c r="P3" s="44" t="s">
        <v>100</v>
      </c>
    </row>
    <row r="4" spans="1:16">
      <c r="A4" s="54" t="str">
        <f>+Legende!A7</f>
        <v>Einsatzleitwagen1</v>
      </c>
      <c r="B4" s="55">
        <f>+HLOOKUP($D$1,Anlagen!$L$108:$N$127,ROWS($1:7),FALSE)</f>
        <v>4203.38</v>
      </c>
      <c r="C4" s="55">
        <f>+HLOOKUP($D$1,Anlagen!$P$108:$R$127,ROWS($1:7),FALSE)</f>
        <v>2185.7575999999999</v>
      </c>
      <c r="D4" s="55">
        <v>355.13</v>
      </c>
      <c r="E4" s="55">
        <v>3749.43</v>
      </c>
      <c r="F4" s="84">
        <f>'Korrektur Dieselkosten'!F2</f>
        <v>250.983278288484</v>
      </c>
      <c r="G4" s="56">
        <f t="shared" ref="G4:G11" si="0">SUM(B4:F4)</f>
        <v>10744.680878288484</v>
      </c>
      <c r="H4" s="54">
        <v>123</v>
      </c>
      <c r="I4" s="56">
        <f>+IF($G$1="",G4,(G4-F4)/$G$1*H4+F4)</f>
        <v>896.34568068848398</v>
      </c>
      <c r="J4" s="55">
        <f t="shared" ref="J4:J17" si="1">+I4*$B$20</f>
        <v>1450.9531224572097</v>
      </c>
      <c r="K4" s="56">
        <f>+I4+J4</f>
        <v>2347.2988031456935</v>
      </c>
      <c r="L4" s="55">
        <f>+K4/H4</f>
        <v>19.083730106875556</v>
      </c>
      <c r="M4" s="148">
        <f t="dataTable" ref="M4:O17" dt2D="0" dtr="1" r1="D1"/>
        <v>19.083730106875556</v>
      </c>
      <c r="N4" s="148">
        <v>19.002427849790784</v>
      </c>
      <c r="O4" s="148">
        <v>19.605284394683778</v>
      </c>
      <c r="P4" s="84">
        <f>+AVERAGE(M4:O4)</f>
        <v>19.230480783783374</v>
      </c>
    </row>
    <row r="5" spans="1:16">
      <c r="A5" s="54" t="str">
        <f>+Legende!A8</f>
        <v>Gerätewagen Gefahrgut</v>
      </c>
      <c r="B5" s="55">
        <f>+HLOOKUP($D$1,Anlagen!$L$108:$N$127,ROWS($1:8),FALSE)</f>
        <v>0</v>
      </c>
      <c r="C5" s="55">
        <f>+HLOOKUP($D$1,Anlagen!$P$108:$R$127,ROWS($1:8),FALSE)</f>
        <v>0</v>
      </c>
      <c r="D5" s="55">
        <v>355.13</v>
      </c>
      <c r="E5" s="55">
        <v>269.04000000000002</v>
      </c>
      <c r="F5" s="84">
        <v>0</v>
      </c>
      <c r="G5" s="56">
        <f t="shared" si="0"/>
        <v>624.17000000000007</v>
      </c>
      <c r="H5" s="54">
        <v>7</v>
      </c>
      <c r="I5" s="56">
        <f t="shared" ref="I5:I11" si="2">+IF($G$1="",G5,(G5-F5)/$G$1*H5+F5)</f>
        <v>2.1845950000000003</v>
      </c>
      <c r="J5" s="55">
        <f t="shared" si="1"/>
        <v>3.536297440647814</v>
      </c>
      <c r="K5" s="56">
        <f t="shared" ref="K5:K11" si="3">+I5+J5</f>
        <v>5.7208924406478143</v>
      </c>
      <c r="L5" s="55">
        <f t="shared" ref="L5:L17" si="4">+K5/H5</f>
        <v>0.81727034866397352</v>
      </c>
      <c r="M5" s="148">
        <v>0.81727034866397352</v>
      </c>
      <c r="N5" s="148">
        <v>0.82933536614116343</v>
      </c>
      <c r="O5" s="148">
        <v>0.87231108545806635</v>
      </c>
      <c r="P5" s="84">
        <f t="shared" ref="P5:P17" si="5">+AVERAGE(M5:O5)</f>
        <v>0.83963893342106777</v>
      </c>
    </row>
    <row r="6" spans="1:16">
      <c r="A6" s="54" t="str">
        <f>+Legende!A9</f>
        <v>Gerätewagen Logistik</v>
      </c>
      <c r="B6" s="55">
        <f>+HLOOKUP($D$1,Anlagen!$L$108:$N$127,ROWS($1:9),FALSE)</f>
        <v>3459.3239999999996</v>
      </c>
      <c r="C6" s="55">
        <f>+HLOOKUP($D$1,Anlagen!$P$108:$R$127,ROWS($1:9),FALSE)</f>
        <v>674.5681800000001</v>
      </c>
      <c r="D6" s="55">
        <v>355.13</v>
      </c>
      <c r="E6" s="55">
        <v>2227.1999999999998</v>
      </c>
      <c r="F6" s="84">
        <v>480.14</v>
      </c>
      <c r="G6" s="56">
        <f t="shared" si="0"/>
        <v>7196.3621800000001</v>
      </c>
      <c r="H6" s="54">
        <v>72</v>
      </c>
      <c r="I6" s="56">
        <f t="shared" si="2"/>
        <v>721.92399848000002</v>
      </c>
      <c r="J6" s="55">
        <f t="shared" si="1"/>
        <v>1168.609279141928</v>
      </c>
      <c r="K6" s="56">
        <f t="shared" si="3"/>
        <v>1890.5332776219279</v>
      </c>
      <c r="L6" s="55">
        <f t="shared" si="4"/>
        <v>26.257406633637888</v>
      </c>
      <c r="M6" s="148">
        <v>26.257406633637888</v>
      </c>
      <c r="N6" s="148">
        <v>26.346267159362462</v>
      </c>
      <c r="O6" s="148">
        <v>27.397268350184408</v>
      </c>
      <c r="P6" s="84">
        <f t="shared" si="5"/>
        <v>26.666980714394921</v>
      </c>
    </row>
    <row r="7" spans="1:16">
      <c r="A7" s="54" t="str">
        <f>+Legende!A10</f>
        <v>Hilfeleistungslöschfahrzeug</v>
      </c>
      <c r="B7" s="55">
        <f>+HLOOKUP($D$1,Anlagen!$L$108:$N$127,ROWS($1:10),FALSE)</f>
        <v>36745.284500000002</v>
      </c>
      <c r="C7" s="55">
        <f>+HLOOKUP($D$1,Anlagen!$P$108:$R$127,ROWS($1:10),FALSE)</f>
        <v>44340.770109999998</v>
      </c>
      <c r="D7" s="55">
        <v>1282.69</v>
      </c>
      <c r="E7" s="55">
        <v>2866.22</v>
      </c>
      <c r="F7" s="84">
        <v>3417.63</v>
      </c>
      <c r="G7" s="56">
        <f t="shared" si="0"/>
        <v>88652.59461</v>
      </c>
      <c r="H7" s="54">
        <v>239</v>
      </c>
      <c r="I7" s="56">
        <f t="shared" si="2"/>
        <v>13603.208270895</v>
      </c>
      <c r="J7" s="55">
        <f t="shared" si="1"/>
        <v>22020.095529361352</v>
      </c>
      <c r="K7" s="56">
        <f t="shared" si="3"/>
        <v>35623.303800256355</v>
      </c>
      <c r="L7" s="55">
        <f t="shared" si="4"/>
        <v>149.05148033580065</v>
      </c>
      <c r="M7" s="148">
        <v>149.05148033580065</v>
      </c>
      <c r="N7" s="148">
        <v>148.07833698030569</v>
      </c>
      <c r="O7" s="148">
        <v>152.41369994365144</v>
      </c>
      <c r="P7" s="84">
        <f t="shared" si="5"/>
        <v>149.84783908658594</v>
      </c>
    </row>
    <row r="8" spans="1:16">
      <c r="A8" s="54" t="str">
        <f>+Legende!A11</f>
        <v>Kleineinsatzfahrzeug</v>
      </c>
      <c r="B8" s="55">
        <f>+HLOOKUP($D$1,Anlagen!$L$108:$N$127,ROWS($1:11),FALSE)</f>
        <v>2552.1330000000003</v>
      </c>
      <c r="C8" s="55">
        <f>+HLOOKUP($D$1,Anlagen!$P$108:$R$127,ROWS($1:11),FALSE)</f>
        <v>1658.8864500000002</v>
      </c>
      <c r="D8" s="55">
        <v>355.13</v>
      </c>
      <c r="E8" s="55">
        <v>1519.64</v>
      </c>
      <c r="F8" s="84">
        <v>580.29999999999995</v>
      </c>
      <c r="G8" s="56">
        <f t="shared" si="0"/>
        <v>6666.0894500000013</v>
      </c>
      <c r="H8" s="54">
        <v>18</v>
      </c>
      <c r="I8" s="56">
        <f t="shared" si="2"/>
        <v>635.07210505</v>
      </c>
      <c r="J8" s="55">
        <f t="shared" si="1"/>
        <v>1028.0184014497581</v>
      </c>
      <c r="K8" s="56">
        <f t="shared" si="3"/>
        <v>1663.0905064997582</v>
      </c>
      <c r="L8" s="55">
        <f t="shared" si="4"/>
        <v>92.393917027764346</v>
      </c>
      <c r="M8" s="148">
        <v>92.393917027764346</v>
      </c>
      <c r="N8" s="148">
        <v>93.53747303288516</v>
      </c>
      <c r="O8" s="148">
        <v>98.152697044532459</v>
      </c>
      <c r="P8" s="84">
        <f t="shared" si="5"/>
        <v>94.694695701727326</v>
      </c>
    </row>
    <row r="9" spans="1:16">
      <c r="A9" s="54" t="str">
        <f>+Legende!A12</f>
        <v>Kommandowagen</v>
      </c>
      <c r="B9" s="55">
        <f>+HLOOKUP($D$1,Anlagen!$L$108:$N$127,ROWS($1:12),FALSE)</f>
        <v>3990.9230000000002</v>
      </c>
      <c r="C9" s="55">
        <f>+HLOOKUP($D$1,Anlagen!$P$108:$R$127,ROWS($1:12),FALSE)</f>
        <v>1815.8699650000001</v>
      </c>
      <c r="D9" s="55">
        <v>360.38</v>
      </c>
      <c r="E9" s="55">
        <v>412.18</v>
      </c>
      <c r="F9" s="84">
        <f>'Korrektur Dieselkosten'!F7</f>
        <v>11.591758998720994</v>
      </c>
      <c r="G9" s="56">
        <f t="shared" si="0"/>
        <v>6590.9447239987221</v>
      </c>
      <c r="H9" s="54">
        <v>11</v>
      </c>
      <c r="I9" s="56">
        <f t="shared" si="2"/>
        <v>47.778200306220995</v>
      </c>
      <c r="J9" s="55">
        <f t="shared" si="1"/>
        <v>77.340618037507127</v>
      </c>
      <c r="K9" s="56">
        <f t="shared" si="3"/>
        <v>125.11881834372812</v>
      </c>
      <c r="L9" s="55">
        <f t="shared" si="4"/>
        <v>11.374438031248012</v>
      </c>
      <c r="M9" s="148">
        <v>11.374438031248012</v>
      </c>
      <c r="N9" s="148">
        <v>11.197675716846845</v>
      </c>
      <c r="O9" s="148">
        <v>11.415393945083206</v>
      </c>
      <c r="P9" s="84">
        <f t="shared" si="5"/>
        <v>11.329169231059353</v>
      </c>
    </row>
    <row r="10" spans="1:16">
      <c r="A10" s="54" t="str">
        <f>+Legende!A13</f>
        <v>Abrollbehälter Wasser/Schaum</v>
      </c>
      <c r="B10" s="55">
        <f>+HLOOKUP($D$1,Anlagen!$L$108:$N$127,ROWS($1:13),FALSE)</f>
        <v>4332</v>
      </c>
      <c r="C10" s="55">
        <f>+HLOOKUP($D$1,Anlagen!$P$108:$R$127,ROWS($1:13),FALSE)</f>
        <v>2534.2199999999998</v>
      </c>
      <c r="D10" s="55">
        <v>0</v>
      </c>
      <c r="E10" s="55">
        <v>0</v>
      </c>
      <c r="F10" s="84">
        <v>0</v>
      </c>
      <c r="G10" s="56">
        <f t="shared" si="0"/>
        <v>6866.2199999999993</v>
      </c>
      <c r="H10" s="54">
        <v>23</v>
      </c>
      <c r="I10" s="56">
        <f t="shared" si="2"/>
        <v>78.961529999999996</v>
      </c>
      <c r="J10" s="55">
        <f t="shared" si="1"/>
        <v>127.81840865178009</v>
      </c>
      <c r="K10" s="56">
        <f t="shared" si="3"/>
        <v>206.77993865178007</v>
      </c>
      <c r="L10" s="55">
        <f t="shared" si="4"/>
        <v>8.9904321152947855</v>
      </c>
      <c r="M10" s="148">
        <v>8.9904321152947855</v>
      </c>
      <c r="N10" s="148">
        <v>8.7490184169501077</v>
      </c>
      <c r="O10" s="148">
        <v>8.8088647488782197</v>
      </c>
      <c r="P10" s="84">
        <f t="shared" si="5"/>
        <v>8.8494384270410382</v>
      </c>
    </row>
    <row r="11" spans="1:16">
      <c r="A11" s="54" t="str">
        <f>+Legende!A14</f>
        <v>Abrollbehälter Mulde</v>
      </c>
      <c r="B11" s="55">
        <f>+HLOOKUP($D$1,Anlagen!$L$108:$N$127,ROWS($1:14),FALSE)</f>
        <v>303.2</v>
      </c>
      <c r="C11" s="55">
        <f>+HLOOKUP($D$1,Anlagen!$P$108:$R$127,ROWS($1:14),FALSE)</f>
        <v>177.37199999999999</v>
      </c>
      <c r="D11" s="146">
        <v>0</v>
      </c>
      <c r="E11" s="146">
        <v>0</v>
      </c>
      <c r="F11" s="169">
        <v>0</v>
      </c>
      <c r="G11" s="145">
        <f t="shared" si="0"/>
        <v>480.572</v>
      </c>
      <c r="H11" s="170">
        <v>1</v>
      </c>
      <c r="I11" s="145">
        <f t="shared" si="2"/>
        <v>0.240286</v>
      </c>
      <c r="J11" s="146">
        <f t="shared" si="1"/>
        <v>0.38896123392367948</v>
      </c>
      <c r="K11" s="145">
        <f t="shared" si="3"/>
        <v>0.62924723392367943</v>
      </c>
      <c r="L11" s="157">
        <f t="shared" si="4"/>
        <v>0.62924723392367943</v>
      </c>
      <c r="M11" s="148">
        <v>0.62924723392367943</v>
      </c>
      <c r="N11" s="148">
        <v>0.61235050415957359</v>
      </c>
      <c r="O11" s="148">
        <v>0.61653919479683217</v>
      </c>
      <c r="P11" s="84">
        <f t="shared" si="5"/>
        <v>0.61937897762669503</v>
      </c>
    </row>
    <row r="12" spans="1:16">
      <c r="A12" s="54" t="str">
        <f>+Legende!A15</f>
        <v>Löschgruppenfahrzeug LF 16 TS</v>
      </c>
      <c r="B12" s="55">
        <f>+HLOOKUP($D$1,Anlagen!$L$108:$N$127,ROWS($1:15),FALSE)</f>
        <v>0</v>
      </c>
      <c r="C12" s="55">
        <f>+HLOOKUP($D$1,Anlagen!$P$108:$R$127,ROWS($1:15),FALSE)</f>
        <v>0</v>
      </c>
      <c r="D12" s="55">
        <v>196.26</v>
      </c>
      <c r="E12" s="55">
        <v>313.32</v>
      </c>
      <c r="F12" s="84">
        <f>'Korrektur Dieselkosten'!F8</f>
        <v>14.382633240482821</v>
      </c>
      <c r="G12" s="56">
        <f t="shared" ref="G12:G17" si="6">SUM(B12:F12)</f>
        <v>523.96263324048277</v>
      </c>
      <c r="H12" s="54">
        <v>4</v>
      </c>
      <c r="I12" s="56">
        <f t="shared" ref="I12:I17" si="7">+IF($G$1="",G12,(G12-F12)/$G$1*H12+F12)</f>
        <v>15.401793240482821</v>
      </c>
      <c r="J12" s="55">
        <f t="shared" si="1"/>
        <v>24.93154201016948</v>
      </c>
      <c r="K12" s="56">
        <f t="shared" ref="K12:K17" si="8">+I12+J12</f>
        <v>40.333335250652297</v>
      </c>
      <c r="L12" s="55">
        <f t="shared" si="4"/>
        <v>10.083333812663074</v>
      </c>
      <c r="M12" s="148">
        <v>10.083333812663074</v>
      </c>
      <c r="N12" s="148">
        <v>10.23218981713821</v>
      </c>
      <c r="O12" s="148">
        <v>10.762416472760849</v>
      </c>
      <c r="P12" s="84">
        <f t="shared" si="5"/>
        <v>10.359313367520711</v>
      </c>
    </row>
    <row r="13" spans="1:16">
      <c r="A13" s="54" t="str">
        <f>+Legende!A16</f>
        <v>Löschgruppenfahrzeug LF 20</v>
      </c>
      <c r="B13" s="55">
        <f>+HLOOKUP($D$1,Anlagen!$L$108:$N$127,ROWS($1:16),FALSE)</f>
        <v>11958.657000000001</v>
      </c>
      <c r="C13" s="55">
        <f>+HLOOKUP($D$1,Anlagen!$P$108:$R$127,ROWS($1:16),FALSE)</f>
        <v>1554.6254099999996</v>
      </c>
      <c r="D13" s="55">
        <v>710.26</v>
      </c>
      <c r="E13" s="55">
        <v>9883.68</v>
      </c>
      <c r="F13" s="84">
        <v>1908.1</v>
      </c>
      <c r="G13" s="56">
        <f t="shared" si="6"/>
        <v>26015.322410000001</v>
      </c>
      <c r="H13" s="54">
        <v>50</v>
      </c>
      <c r="I13" s="56">
        <f t="shared" si="7"/>
        <v>2510.7805602500002</v>
      </c>
      <c r="J13" s="55">
        <f t="shared" si="1"/>
        <v>4064.3079697794601</v>
      </c>
      <c r="K13" s="56">
        <f t="shared" si="8"/>
        <v>6575.0885300294603</v>
      </c>
      <c r="L13" s="55">
        <f t="shared" si="4"/>
        <v>131.5017706005892</v>
      </c>
      <c r="M13" s="148">
        <v>131.5017706005892</v>
      </c>
      <c r="N13" s="148">
        <v>132.41025953281095</v>
      </c>
      <c r="O13" s="148">
        <v>121.47248760302332</v>
      </c>
      <c r="P13" s="84">
        <f t="shared" si="5"/>
        <v>128.46150591214118</v>
      </c>
    </row>
    <row r="14" spans="1:16" ht="12.6" customHeight="1">
      <c r="A14" s="54" t="str">
        <f>+Legende!A17</f>
        <v>Mannschaftstransportfahrzeug</v>
      </c>
      <c r="B14" s="55">
        <f>+HLOOKUP($D$1,Anlagen!$L$108:$N$127,ROWS($1:17),FALSE)</f>
        <v>4773.6050000000005</v>
      </c>
      <c r="C14" s="55">
        <f>+HLOOKUP($D$1,Anlagen!$P$108:$R$127,ROWS($1:17),FALSE)</f>
        <v>2792.5589250000007</v>
      </c>
      <c r="D14" s="55">
        <v>710.26</v>
      </c>
      <c r="E14" s="55">
        <v>2354.64</v>
      </c>
      <c r="F14" s="84">
        <f>'Korrektur Dieselkosten'!F10</f>
        <v>40.821130854317879</v>
      </c>
      <c r="G14" s="56">
        <f t="shared" si="6"/>
        <v>10671.885055854318</v>
      </c>
      <c r="H14" s="54">
        <v>33</v>
      </c>
      <c r="I14" s="56">
        <f t="shared" si="7"/>
        <v>216.23368561681789</v>
      </c>
      <c r="J14" s="55">
        <f t="shared" si="1"/>
        <v>350.02672304413267</v>
      </c>
      <c r="K14" s="56">
        <f t="shared" si="8"/>
        <v>566.26040866095059</v>
      </c>
      <c r="L14" s="55">
        <f t="shared" si="4"/>
        <v>17.159406323059109</v>
      </c>
      <c r="M14" s="148">
        <v>17.159406323059109</v>
      </c>
      <c r="N14" s="148">
        <v>17.000448277487354</v>
      </c>
      <c r="O14" s="148">
        <v>17.447763498166957</v>
      </c>
      <c r="P14" s="84">
        <f t="shared" si="5"/>
        <v>17.202539366237808</v>
      </c>
    </row>
    <row r="15" spans="1:16">
      <c r="A15" s="54" t="str">
        <f>+Legende!A18</f>
        <v>Rüstwagen</v>
      </c>
      <c r="B15" s="55">
        <f>+HLOOKUP($D$1,Anlagen!$L$108:$N$127,ROWS($1:18),FALSE)</f>
        <v>1116.8120000000001</v>
      </c>
      <c r="C15" s="55">
        <f>+HLOOKUP($D$1,Anlagen!$P$108:$R$127,ROWS($1:18),FALSE)</f>
        <v>653.3350200000001</v>
      </c>
      <c r="D15" s="55">
        <v>355.13</v>
      </c>
      <c r="E15" s="55">
        <v>2058.87</v>
      </c>
      <c r="F15" s="84">
        <v>905.04</v>
      </c>
      <c r="G15" s="56">
        <f t="shared" si="6"/>
        <v>5089.1870200000003</v>
      </c>
      <c r="H15" s="54">
        <v>55</v>
      </c>
      <c r="I15" s="56">
        <f t="shared" si="7"/>
        <v>1020.10404305</v>
      </c>
      <c r="J15" s="55">
        <f t="shared" si="1"/>
        <v>1651.2860812334561</v>
      </c>
      <c r="K15" s="56">
        <f t="shared" si="8"/>
        <v>2671.3901242834563</v>
      </c>
      <c r="L15" s="55">
        <f t="shared" si="4"/>
        <v>48.570729532426476</v>
      </c>
      <c r="M15" s="148">
        <v>48.570729532426476</v>
      </c>
      <c r="N15" s="148">
        <v>49.191304621321919</v>
      </c>
      <c r="O15" s="148">
        <v>51.638919659335549</v>
      </c>
      <c r="P15" s="84">
        <f t="shared" si="5"/>
        <v>49.800317937694651</v>
      </c>
    </row>
    <row r="16" spans="1:16" s="13" customFormat="1">
      <c r="A16" s="54" t="str">
        <f>+Legende!A19</f>
        <v>Teleskopmast</v>
      </c>
      <c r="B16" s="55">
        <f>+HLOOKUP($D$1,Anlagen!$L$108:$N$127,ROWS($1:19),FALSE)</f>
        <v>19753.406500000001</v>
      </c>
      <c r="C16" s="55">
        <f>+HLOOKUP($D$1,Anlagen!$P$108:$R$127,ROWS($1:19),FALSE)</f>
        <v>14123.685647500002</v>
      </c>
      <c r="D16" s="55">
        <v>908.9</v>
      </c>
      <c r="E16" s="55">
        <v>9770.43</v>
      </c>
      <c r="F16" s="84">
        <v>1118.01</v>
      </c>
      <c r="G16" s="56">
        <f t="shared" si="6"/>
        <v>45674.432147500011</v>
      </c>
      <c r="H16" s="54">
        <v>51</v>
      </c>
      <c r="I16" s="56">
        <f t="shared" si="7"/>
        <v>2254.1987647612505</v>
      </c>
      <c r="J16" s="55">
        <f t="shared" si="1"/>
        <v>3648.9680341375279</v>
      </c>
      <c r="K16" s="56">
        <f t="shared" si="8"/>
        <v>5903.1667988987783</v>
      </c>
      <c r="L16" s="55">
        <f t="shared" si="4"/>
        <v>115.7483686058584</v>
      </c>
      <c r="M16" s="148">
        <v>115.7483686058584</v>
      </c>
      <c r="N16" s="148">
        <v>115.75109871264249</v>
      </c>
      <c r="O16" s="148">
        <v>119.9548403296962</v>
      </c>
      <c r="P16" s="84">
        <f t="shared" si="5"/>
        <v>117.15143588273236</v>
      </c>
    </row>
    <row r="17" spans="1:16">
      <c r="A17" s="54" t="str">
        <f>+Legende!A20</f>
        <v>Wechselladerfahrzeug</v>
      </c>
      <c r="B17" s="55">
        <f>+HLOOKUP($D$1,Anlagen!$L$108:$N$127,ROWS($1:20),FALSE)</f>
        <v>7167.4</v>
      </c>
      <c r="C17" s="55">
        <f>+HLOOKUP($D$1,Anlagen!$P$108:$R$127,ROWS($1:20),FALSE)</f>
        <v>4192.9289999999992</v>
      </c>
      <c r="D17" s="55">
        <v>897.43</v>
      </c>
      <c r="E17" s="55">
        <v>6093.15</v>
      </c>
      <c r="F17" s="84">
        <v>1209.6500000000001</v>
      </c>
      <c r="G17" s="56">
        <f t="shared" si="6"/>
        <v>19560.559000000001</v>
      </c>
      <c r="H17" s="54">
        <v>24</v>
      </c>
      <c r="I17" s="56">
        <f t="shared" si="7"/>
        <v>1429.8609080000001</v>
      </c>
      <c r="J17" s="55">
        <f t="shared" si="1"/>
        <v>2314.5770586505778</v>
      </c>
      <c r="K17" s="56">
        <f t="shared" si="8"/>
        <v>3744.4379666505779</v>
      </c>
      <c r="L17" s="55">
        <f t="shared" si="4"/>
        <v>156.01824861044074</v>
      </c>
      <c r="M17" s="148">
        <v>156.01824861044074</v>
      </c>
      <c r="N17" s="148">
        <v>157.70246361709118</v>
      </c>
      <c r="O17" s="148">
        <v>165.2234280260497</v>
      </c>
      <c r="P17" s="84">
        <f t="shared" si="5"/>
        <v>159.64804675119387</v>
      </c>
    </row>
    <row r="18" spans="1:16">
      <c r="A18" s="8" t="s">
        <v>101</v>
      </c>
      <c r="B18" s="60">
        <f t="shared" ref="B18:K18" si="9">SUM(B4:B17)</f>
        <v>100356.125</v>
      </c>
      <c r="C18" s="60">
        <f t="shared" si="9"/>
        <v>76704.578307499993</v>
      </c>
      <c r="D18" s="60">
        <f t="shared" si="9"/>
        <v>6841.8300000000008</v>
      </c>
      <c r="E18" s="60">
        <f t="shared" si="9"/>
        <v>41517.799999999996</v>
      </c>
      <c r="F18" s="60">
        <f t="shared" si="9"/>
        <v>9936.6488013820053</v>
      </c>
      <c r="G18" s="60">
        <f t="shared" si="9"/>
        <v>235356.98210888205</v>
      </c>
      <c r="H18" s="60">
        <f t="shared" si="9"/>
        <v>711</v>
      </c>
      <c r="I18" s="60">
        <f t="shared" si="9"/>
        <v>23432.294421338254</v>
      </c>
      <c r="J18" s="60">
        <f t="shared" si="9"/>
        <v>37930.858026629423</v>
      </c>
      <c r="K18" s="60">
        <f t="shared" si="9"/>
        <v>61363.152447967681</v>
      </c>
      <c r="L18" s="54"/>
      <c r="M18" s="11"/>
      <c r="N18" s="11"/>
      <c r="O18" s="11"/>
      <c r="P18" s="54"/>
    </row>
    <row r="19" spans="1:16" s="69" customFormat="1">
      <c r="M19" s="149"/>
      <c r="N19" s="149"/>
      <c r="O19" s="149"/>
    </row>
    <row r="20" spans="1:16" s="69" customFormat="1">
      <c r="A20" s="8" t="s">
        <v>102</v>
      </c>
      <c r="B20" s="67">
        <f>+KST!G68</f>
        <v>1.6187428061713103</v>
      </c>
      <c r="G20" s="161"/>
      <c r="M20" s="149"/>
      <c r="N20" s="149"/>
      <c r="O20" s="149"/>
    </row>
    <row r="21" spans="1:16">
      <c r="A21" s="159"/>
      <c r="B21" s="160"/>
      <c r="C21" s="69"/>
      <c r="D21" s="69"/>
      <c r="E21" s="69"/>
      <c r="F21" s="69"/>
      <c r="G21" s="161"/>
    </row>
    <row r="22" spans="1:16" s="10" customFormat="1">
      <c r="A22" s="42" t="s">
        <v>44</v>
      </c>
      <c r="B22" s="42" t="s">
        <v>96</v>
      </c>
      <c r="C22" s="44" t="s">
        <v>442</v>
      </c>
      <c r="D22" s="42" t="s">
        <v>103</v>
      </c>
      <c r="E22" s="42" t="s">
        <v>15</v>
      </c>
      <c r="F22" s="42" t="s">
        <v>104</v>
      </c>
      <c r="G22" s="42">
        <f>+M3</f>
        <v>2016</v>
      </c>
      <c r="H22" s="42">
        <f t="shared" ref="H22:I22" si="10">+N3</f>
        <v>2017</v>
      </c>
      <c r="I22" s="42">
        <f t="shared" si="10"/>
        <v>2018</v>
      </c>
      <c r="J22" s="42" t="s">
        <v>100</v>
      </c>
    </row>
    <row r="23" spans="1:16">
      <c r="A23" s="92" t="s">
        <v>461</v>
      </c>
      <c r="B23" s="54">
        <f>1752*26</f>
        <v>45552</v>
      </c>
      <c r="C23" s="56">
        <f>+'Berechnung Personal'!D40*1.15</f>
        <v>1803630.6895369194</v>
      </c>
      <c r="D23" s="55">
        <f>+C23*$B$29</f>
        <v>366293.97037483921</v>
      </c>
      <c r="E23" s="56">
        <f>+C23+D23</f>
        <v>2169924.6599117587</v>
      </c>
      <c r="F23" s="55">
        <f>+E23/B23</f>
        <v>47.636210482783603</v>
      </c>
      <c r="G23" s="55">
        <f t="dataTable" ref="G23:I26" dt2D="0" dtr="1" r1="D1" ca="1"/>
        <v>47.636210482783603</v>
      </c>
      <c r="H23" s="55">
        <v>48.360784292244297</v>
      </c>
      <c r="I23" s="55">
        <v>49.104561809528356</v>
      </c>
      <c r="J23" s="171">
        <f>+AVERAGE(G23:I23)</f>
        <v>48.367185528185416</v>
      </c>
      <c r="L23" s="147"/>
    </row>
    <row r="24" spans="1:16">
      <c r="A24" s="92" t="s">
        <v>451</v>
      </c>
      <c r="B24" s="54">
        <f>+'Berechnung Personal'!G34</f>
        <v>6512</v>
      </c>
      <c r="C24" s="56">
        <f>+'Berechnung Personal'!H26*1.15</f>
        <v>367986.8404419045</v>
      </c>
      <c r="D24" s="55">
        <f t="shared" ref="D24:D26" si="11">+C24*$B$29</f>
        <v>74733.348469339486</v>
      </c>
      <c r="E24" s="56">
        <f t="shared" ref="E24:E26" si="12">+C24+D24</f>
        <v>442720.18891124398</v>
      </c>
      <c r="F24" s="55">
        <f t="shared" ref="F24:F26" si="13">+E24/B24</f>
        <v>67.985286994969897</v>
      </c>
      <c r="G24" s="55">
        <v>67.985286994969897</v>
      </c>
      <c r="H24" s="55">
        <v>69.019381812462285</v>
      </c>
      <c r="I24" s="55">
        <v>70.080883713232467</v>
      </c>
      <c r="J24" s="171">
        <f t="shared" ref="J24:J26" si="14">+AVERAGE(G24:I24)</f>
        <v>69.028517506888207</v>
      </c>
    </row>
    <row r="25" spans="1:16">
      <c r="A25" s="92" t="s">
        <v>452</v>
      </c>
      <c r="B25" s="54">
        <f>+'Berechnung Personal'!J33</f>
        <v>1408</v>
      </c>
      <c r="C25" s="56">
        <f>+'Berechnung Personal'!K26*1.15</f>
        <v>95035.061600000001</v>
      </c>
      <c r="D25" s="55">
        <f t="shared" si="11"/>
        <v>19300.386847608504</v>
      </c>
      <c r="E25" s="56">
        <f t="shared" si="12"/>
        <v>114335.44844760851</v>
      </c>
      <c r="F25" s="55">
        <f t="shared" si="13"/>
        <v>81.204153726994676</v>
      </c>
      <c r="G25" s="55">
        <v>81.204153726994676</v>
      </c>
      <c r="H25" s="55">
        <v>82.439315013202886</v>
      </c>
      <c r="I25" s="55">
        <v>83.707212338369956</v>
      </c>
      <c r="J25" s="171">
        <f t="shared" si="14"/>
        <v>82.450227026189168</v>
      </c>
    </row>
    <row r="26" spans="1:16">
      <c r="A26" s="57" t="s">
        <v>439</v>
      </c>
      <c r="B26" s="54">
        <v>1536</v>
      </c>
      <c r="C26" s="56">
        <f>+KST!F24+KST!F42*1.15</f>
        <v>47344.257469999997</v>
      </c>
      <c r="D26" s="55">
        <f t="shared" si="11"/>
        <v>9615.0038606780745</v>
      </c>
      <c r="E26" s="56">
        <f t="shared" si="12"/>
        <v>56959.261330678069</v>
      </c>
      <c r="F26" s="55">
        <f t="shared" si="13"/>
        <v>37.082852428826868</v>
      </c>
      <c r="G26" s="55">
        <v>37.082852428826868</v>
      </c>
      <c r="H26" s="55">
        <v>37.488986110449737</v>
      </c>
      <c r="I26" s="55">
        <v>37.906032986756053</v>
      </c>
      <c r="J26" s="171">
        <f t="shared" si="14"/>
        <v>37.492623842010886</v>
      </c>
      <c r="N26" s="150"/>
      <c r="O26" s="150"/>
      <c r="P26" s="150"/>
    </row>
    <row r="27" spans="1:16">
      <c r="A27" s="57" t="s">
        <v>15</v>
      </c>
      <c r="B27" s="54">
        <f>SUM(B23:B26)</f>
        <v>55008</v>
      </c>
      <c r="C27" s="55">
        <f>SUM(C23:C26)</f>
        <v>2313996.849048824</v>
      </c>
      <c r="D27" s="56">
        <f>SUM(D23:D26)</f>
        <v>469942.70955246524</v>
      </c>
      <c r="E27" s="54"/>
      <c r="F27" s="54"/>
      <c r="G27" s="54"/>
      <c r="H27" s="54"/>
      <c r="I27" s="54"/>
      <c r="J27" s="84"/>
      <c r="N27" s="150"/>
      <c r="O27" s="150"/>
      <c r="P27" s="150"/>
    </row>
    <row r="28" spans="1:16" s="69" customFormat="1">
      <c r="A28" s="57"/>
      <c r="B28" s="68"/>
      <c r="C28" s="147"/>
      <c r="D28" s="161"/>
      <c r="J28" s="162"/>
      <c r="M28" s="149"/>
      <c r="N28" s="150"/>
      <c r="O28" s="150"/>
      <c r="P28" s="150"/>
    </row>
    <row r="29" spans="1:16">
      <c r="A29" s="158" t="s">
        <v>440</v>
      </c>
      <c r="B29" s="67">
        <f>+KST!H68</f>
        <v>0.20308701359971029</v>
      </c>
      <c r="C29" s="69"/>
      <c r="D29" s="69"/>
      <c r="E29" s="69"/>
      <c r="F29" s="161"/>
      <c r="G29" s="69"/>
      <c r="H29" s="69"/>
      <c r="I29" s="69"/>
      <c r="J29" s="162"/>
    </row>
    <row r="36" spans="1:8">
      <c r="A36" s="126" t="s">
        <v>509</v>
      </c>
      <c r="H36" s="126" t="s">
        <v>509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1"/>
  <sheetViews>
    <sheetView topLeftCell="A4" zoomScale="190" zoomScaleNormal="190" workbookViewId="0">
      <selection activeCell="A31" sqref="A31"/>
    </sheetView>
  </sheetViews>
  <sheetFormatPr baseColWidth="10" defaultRowHeight="12.75"/>
  <cols>
    <col min="1" max="1" width="34.42578125" bestFit="1" customWidth="1"/>
    <col min="2" max="2" width="11.85546875" bestFit="1" customWidth="1"/>
    <col min="3" max="3" width="11.5703125" bestFit="1" customWidth="1"/>
    <col min="4" max="4" width="16.7109375" bestFit="1" customWidth="1"/>
    <col min="5" max="5" width="14" bestFit="1" customWidth="1"/>
    <col min="6" max="6" width="12.42578125" bestFit="1" customWidth="1"/>
    <col min="7" max="7" width="14" bestFit="1" customWidth="1"/>
  </cols>
  <sheetData>
    <row r="1" spans="1:20" ht="15.75">
      <c r="A1" s="186" t="s">
        <v>105</v>
      </c>
      <c r="B1" s="187"/>
      <c r="C1" s="187"/>
      <c r="D1" s="187" t="s">
        <v>106</v>
      </c>
      <c r="E1" s="198">
        <v>1</v>
      </c>
      <c r="F1" s="187"/>
      <c r="G1" s="187"/>
    </row>
    <row r="2" spans="1:20" ht="15">
      <c r="A2" s="187"/>
      <c r="B2" s="187"/>
      <c r="C2" s="187"/>
      <c r="D2" s="187" t="s">
        <v>107</v>
      </c>
      <c r="E2" s="187">
        <v>1</v>
      </c>
      <c r="F2" s="187"/>
      <c r="G2" s="187"/>
    </row>
    <row r="3" spans="1:20" ht="15">
      <c r="A3" s="187"/>
      <c r="B3" s="187"/>
      <c r="C3" s="187"/>
      <c r="D3" s="187"/>
      <c r="E3" s="187"/>
      <c r="F3" s="187"/>
      <c r="G3" s="187"/>
      <c r="J3" s="7"/>
    </row>
    <row r="4" spans="1:20" s="10" customFormat="1" ht="15.75">
      <c r="A4" s="188" t="s">
        <v>42</v>
      </c>
      <c r="B4" s="188" t="s">
        <v>108</v>
      </c>
      <c r="C4" s="188" t="s">
        <v>109</v>
      </c>
      <c r="D4" s="188" t="s">
        <v>83</v>
      </c>
      <c r="E4" s="188" t="s">
        <v>110</v>
      </c>
      <c r="F4" s="188" t="s">
        <v>111</v>
      </c>
      <c r="G4" s="188" t="s">
        <v>110</v>
      </c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</row>
    <row r="5" spans="1:20" ht="15">
      <c r="A5" s="189" t="str">
        <f>+KT!A4</f>
        <v>Einsatzleitwagen1</v>
      </c>
      <c r="B5" s="190">
        <f>+KT!P4</f>
        <v>19.230480783783374</v>
      </c>
      <c r="C5" s="190">
        <v>70</v>
      </c>
      <c r="D5" s="191">
        <f>+B5-C5</f>
        <v>-50.769519216216622</v>
      </c>
      <c r="E5" s="192">
        <f>+B5/C5-1</f>
        <v>-0.72527884594595182</v>
      </c>
      <c r="F5" s="193">
        <f>+ROUNDDOWN(B5*$E$1,$E$2)</f>
        <v>19.2</v>
      </c>
      <c r="G5" s="192">
        <f>+F5/C5-1</f>
        <v>-0.72571428571428576</v>
      </c>
      <c r="I5" s="12"/>
      <c r="J5" s="80"/>
      <c r="K5" s="12"/>
      <c r="L5" s="80"/>
      <c r="M5" s="80"/>
      <c r="N5" s="80"/>
      <c r="O5" s="80"/>
      <c r="P5" s="80"/>
      <c r="Q5" s="80"/>
      <c r="R5" s="80"/>
      <c r="S5" s="80"/>
      <c r="T5" s="80"/>
    </row>
    <row r="6" spans="1:20" ht="15">
      <c r="A6" s="189" t="str">
        <f>+KT!A5</f>
        <v>Gerätewagen Gefahrgut</v>
      </c>
      <c r="B6" s="190">
        <f>+KT!P5</f>
        <v>0.83963893342106777</v>
      </c>
      <c r="C6" s="190">
        <v>150</v>
      </c>
      <c r="D6" s="191">
        <f t="shared" ref="D6:D18" si="0">+B6-C6</f>
        <v>-149.16036106657893</v>
      </c>
      <c r="E6" s="192">
        <f t="shared" ref="E6:E18" si="1">+B6/C6-1</f>
        <v>-0.99440240711052619</v>
      </c>
      <c r="F6" s="193">
        <f t="shared" ref="F6:F18" si="2">+ROUNDDOWN(B6*$E$1,$E$2)</f>
        <v>0.8</v>
      </c>
      <c r="G6" s="192">
        <f t="shared" ref="G6:G18" si="3">+F6/C6-1</f>
        <v>-0.9946666666666667</v>
      </c>
      <c r="I6" s="12"/>
      <c r="J6" s="80"/>
      <c r="K6" s="12"/>
      <c r="L6" s="80"/>
      <c r="M6" s="80"/>
      <c r="N6" s="80"/>
      <c r="O6" s="80"/>
      <c r="P6" s="80"/>
      <c r="Q6" s="80"/>
      <c r="R6" s="80"/>
      <c r="S6" s="80"/>
      <c r="T6" s="80"/>
    </row>
    <row r="7" spans="1:20" ht="15">
      <c r="A7" s="189" t="str">
        <f>+KT!A6</f>
        <v>Gerätewagen Logistik</v>
      </c>
      <c r="B7" s="190">
        <f>+KT!P6</f>
        <v>26.666980714394921</v>
      </c>
      <c r="C7" s="190">
        <v>20</v>
      </c>
      <c r="D7" s="191">
        <f t="shared" si="0"/>
        <v>6.6669807143949207</v>
      </c>
      <c r="E7" s="192">
        <f t="shared" si="1"/>
        <v>0.33334903571974595</v>
      </c>
      <c r="F7" s="193">
        <f t="shared" si="2"/>
        <v>26.6</v>
      </c>
      <c r="G7" s="192">
        <f t="shared" si="3"/>
        <v>0.33000000000000007</v>
      </c>
      <c r="I7" s="12"/>
      <c r="J7" s="80"/>
      <c r="K7" s="12"/>
      <c r="L7" s="80"/>
      <c r="M7" s="80"/>
      <c r="N7" s="80"/>
      <c r="O7" s="80"/>
      <c r="P7" s="80"/>
      <c r="Q7" s="80"/>
      <c r="R7" s="80"/>
      <c r="S7" s="80"/>
      <c r="T7" s="80"/>
    </row>
    <row r="8" spans="1:20" ht="15">
      <c r="A8" s="189" t="str">
        <f>+KT!A7</f>
        <v>Hilfeleistungslöschfahrzeug</v>
      </c>
      <c r="B8" s="190">
        <f>+KT!P7</f>
        <v>149.84783908658594</v>
      </c>
      <c r="C8" s="190">
        <v>290</v>
      </c>
      <c r="D8" s="191">
        <f t="shared" si="0"/>
        <v>-140.15216091341406</v>
      </c>
      <c r="E8" s="192">
        <f t="shared" si="1"/>
        <v>-0.48328331349453124</v>
      </c>
      <c r="F8" s="193">
        <f t="shared" si="2"/>
        <v>149.80000000000001</v>
      </c>
      <c r="G8" s="192">
        <f t="shared" si="3"/>
        <v>-0.48344827586206895</v>
      </c>
      <c r="I8" s="12"/>
      <c r="J8" s="80"/>
      <c r="K8" s="12"/>
      <c r="L8" s="80"/>
      <c r="M8" s="80"/>
      <c r="N8" s="80"/>
      <c r="O8" s="80"/>
      <c r="P8" s="80"/>
      <c r="Q8" s="80"/>
      <c r="R8" s="80"/>
      <c r="S8" s="80"/>
      <c r="T8" s="80"/>
    </row>
    <row r="9" spans="1:20" ht="15">
      <c r="A9" s="189" t="str">
        <f>+KT!A8</f>
        <v>Kleineinsatzfahrzeug</v>
      </c>
      <c r="B9" s="190">
        <f>+KT!P8</f>
        <v>94.694695701727326</v>
      </c>
      <c r="C9" s="190">
        <v>20</v>
      </c>
      <c r="D9" s="191">
        <f t="shared" si="0"/>
        <v>74.694695701727326</v>
      </c>
      <c r="E9" s="192">
        <f t="shared" si="1"/>
        <v>3.7347347850863661</v>
      </c>
      <c r="F9" s="193">
        <f t="shared" si="2"/>
        <v>94.6</v>
      </c>
      <c r="G9" s="192">
        <f t="shared" si="3"/>
        <v>3.7299999999999995</v>
      </c>
      <c r="I9" s="12"/>
      <c r="J9" s="80"/>
      <c r="K9" s="12"/>
      <c r="L9" s="80"/>
      <c r="M9" s="80"/>
      <c r="N9" s="80"/>
      <c r="O9" s="80"/>
      <c r="P9" s="80"/>
      <c r="Q9" s="80"/>
      <c r="R9" s="80"/>
      <c r="S9" s="80"/>
      <c r="T9" s="80"/>
    </row>
    <row r="10" spans="1:20" ht="15">
      <c r="A10" s="189" t="str">
        <f>+KT!A9</f>
        <v>Kommandowagen</v>
      </c>
      <c r="B10" s="190">
        <f>+KT!P9</f>
        <v>11.329169231059353</v>
      </c>
      <c r="C10" s="190">
        <v>13</v>
      </c>
      <c r="D10" s="191">
        <f t="shared" si="0"/>
        <v>-1.6708307689406467</v>
      </c>
      <c r="E10" s="192">
        <f t="shared" si="1"/>
        <v>-0.12852544376466513</v>
      </c>
      <c r="F10" s="193">
        <f t="shared" si="2"/>
        <v>11.3</v>
      </c>
      <c r="G10" s="192">
        <f t="shared" si="3"/>
        <v>-0.13076923076923075</v>
      </c>
      <c r="I10" s="12"/>
      <c r="J10" s="80"/>
      <c r="K10" s="12"/>
      <c r="L10" s="80"/>
      <c r="M10" s="80"/>
      <c r="N10" s="80"/>
      <c r="O10" s="80"/>
      <c r="P10" s="80"/>
      <c r="Q10" s="80"/>
      <c r="R10" s="80"/>
      <c r="S10" s="80"/>
      <c r="T10" s="80"/>
    </row>
    <row r="11" spans="1:20" ht="15">
      <c r="A11" s="189" t="s">
        <v>492</v>
      </c>
      <c r="B11" s="190">
        <f>+KT!P10</f>
        <v>8.8494384270410382</v>
      </c>
      <c r="C11" s="190"/>
      <c r="D11" s="191"/>
      <c r="E11" s="192"/>
      <c r="F11" s="193">
        <f t="shared" si="2"/>
        <v>8.8000000000000007</v>
      </c>
      <c r="G11" s="192"/>
      <c r="I11" s="12"/>
      <c r="J11" s="80"/>
      <c r="K11" s="12"/>
      <c r="L11" s="80"/>
      <c r="M11" s="80"/>
      <c r="N11" s="80"/>
      <c r="O11" s="80"/>
      <c r="P11" s="80"/>
      <c r="Q11" s="80"/>
      <c r="R11" s="80"/>
      <c r="S11" s="80"/>
      <c r="T11" s="80"/>
    </row>
    <row r="12" spans="1:20" ht="15">
      <c r="A12" s="189" t="s">
        <v>490</v>
      </c>
      <c r="B12" s="190">
        <f>+KT!P11</f>
        <v>0.61937897762669503</v>
      </c>
      <c r="C12" s="190"/>
      <c r="D12" s="191"/>
      <c r="E12" s="192"/>
      <c r="F12" s="193">
        <f t="shared" si="2"/>
        <v>0.6</v>
      </c>
      <c r="G12" s="192"/>
      <c r="I12" s="12"/>
      <c r="J12" s="80"/>
      <c r="K12" s="12"/>
      <c r="L12" s="80"/>
      <c r="M12" s="80"/>
      <c r="N12" s="80"/>
      <c r="O12" s="80"/>
      <c r="P12" s="80"/>
      <c r="Q12" s="80"/>
      <c r="R12" s="80"/>
      <c r="S12" s="80"/>
      <c r="T12" s="80"/>
    </row>
    <row r="13" spans="1:20" ht="15">
      <c r="A13" s="189" t="str">
        <f>+KT!A12</f>
        <v>Löschgruppenfahrzeug LF 16 TS</v>
      </c>
      <c r="B13" s="190">
        <f>+KT!P12</f>
        <v>10.359313367520711</v>
      </c>
      <c r="C13" s="190">
        <v>100</v>
      </c>
      <c r="D13" s="191">
        <f t="shared" si="0"/>
        <v>-89.640686632479287</v>
      </c>
      <c r="E13" s="192">
        <f t="shared" si="1"/>
        <v>-0.89640686632479283</v>
      </c>
      <c r="F13" s="193">
        <f t="shared" si="2"/>
        <v>10.3</v>
      </c>
      <c r="G13" s="192">
        <f t="shared" si="3"/>
        <v>-0.89700000000000002</v>
      </c>
      <c r="I13" s="12"/>
      <c r="J13" s="80"/>
      <c r="K13" s="12"/>
      <c r="L13" s="80"/>
      <c r="M13" s="80"/>
      <c r="N13" s="80"/>
      <c r="O13" s="80"/>
      <c r="P13" s="80"/>
      <c r="Q13" s="80"/>
      <c r="R13" s="80"/>
      <c r="S13" s="80"/>
      <c r="T13" s="80"/>
    </row>
    <row r="14" spans="1:20" ht="15">
      <c r="A14" s="189" t="str">
        <f>+KT!A13</f>
        <v>Löschgruppenfahrzeug LF 20</v>
      </c>
      <c r="B14" s="190">
        <f>+KT!P13</f>
        <v>128.46150591214118</v>
      </c>
      <c r="C14" s="190">
        <v>150</v>
      </c>
      <c r="D14" s="191">
        <f t="shared" si="0"/>
        <v>-21.538494087858822</v>
      </c>
      <c r="E14" s="192">
        <f t="shared" si="1"/>
        <v>-0.14358996058572548</v>
      </c>
      <c r="F14" s="193">
        <f t="shared" si="2"/>
        <v>128.4</v>
      </c>
      <c r="G14" s="192">
        <f t="shared" si="3"/>
        <v>-0.14400000000000002</v>
      </c>
      <c r="I14" s="12"/>
      <c r="J14" s="80"/>
      <c r="K14" s="12"/>
      <c r="L14" s="80"/>
      <c r="M14" s="80"/>
      <c r="N14" s="80"/>
      <c r="O14" s="80"/>
      <c r="P14" s="80"/>
      <c r="Q14" s="80"/>
      <c r="R14" s="80"/>
      <c r="S14" s="80"/>
      <c r="T14" s="80"/>
    </row>
    <row r="15" spans="1:20" ht="15">
      <c r="A15" s="189" t="str">
        <f>+KT!A14</f>
        <v>Mannschaftstransportfahrzeug</v>
      </c>
      <c r="B15" s="190">
        <f>+KT!P14</f>
        <v>17.202539366237808</v>
      </c>
      <c r="C15" s="190">
        <v>13</v>
      </c>
      <c r="D15" s="191">
        <f t="shared" si="0"/>
        <v>4.2025393662378079</v>
      </c>
      <c r="E15" s="192">
        <f t="shared" si="1"/>
        <v>0.32327225894136991</v>
      </c>
      <c r="F15" s="193">
        <f t="shared" si="2"/>
        <v>17.2</v>
      </c>
      <c r="G15" s="192">
        <f t="shared" si="3"/>
        <v>0.32307692307692304</v>
      </c>
      <c r="I15" s="12"/>
      <c r="J15" s="80"/>
      <c r="K15" s="12"/>
      <c r="L15" s="80"/>
      <c r="M15" s="80"/>
      <c r="N15" s="80"/>
      <c r="O15" s="80"/>
      <c r="P15" s="80"/>
      <c r="Q15" s="80"/>
      <c r="R15" s="80"/>
      <c r="S15" s="80"/>
      <c r="T15" s="80"/>
    </row>
    <row r="16" spans="1:20" ht="15">
      <c r="A16" s="189" t="str">
        <f>+KT!A15</f>
        <v>Rüstwagen</v>
      </c>
      <c r="B16" s="190">
        <f>+KT!P15</f>
        <v>49.800317937694651</v>
      </c>
      <c r="C16" s="190">
        <v>210</v>
      </c>
      <c r="D16" s="191">
        <f t="shared" si="0"/>
        <v>-160.19968206230536</v>
      </c>
      <c r="E16" s="192">
        <f t="shared" si="1"/>
        <v>-0.76285562886812075</v>
      </c>
      <c r="F16" s="193">
        <f t="shared" si="2"/>
        <v>49.8</v>
      </c>
      <c r="G16" s="192">
        <f t="shared" si="3"/>
        <v>-0.7628571428571429</v>
      </c>
      <c r="I16" s="12"/>
      <c r="J16" s="80"/>
      <c r="K16" s="12"/>
      <c r="L16" s="80"/>
      <c r="M16" s="80"/>
      <c r="N16" s="80"/>
      <c r="O16" s="80"/>
      <c r="P16" s="80"/>
      <c r="Q16" s="80"/>
      <c r="R16" s="80"/>
      <c r="S16" s="80"/>
      <c r="T16" s="80"/>
    </row>
    <row r="17" spans="1:7" ht="15">
      <c r="A17" s="189" t="str">
        <f>+KT!A16</f>
        <v>Teleskopmast</v>
      </c>
      <c r="B17" s="190">
        <f>+KT!P16</f>
        <v>117.15143588273236</v>
      </c>
      <c r="C17" s="190">
        <v>370</v>
      </c>
      <c r="D17" s="191">
        <f t="shared" si="0"/>
        <v>-252.84856411726764</v>
      </c>
      <c r="E17" s="192">
        <f t="shared" si="1"/>
        <v>-0.68337449761423685</v>
      </c>
      <c r="F17" s="193">
        <f t="shared" si="2"/>
        <v>117.1</v>
      </c>
      <c r="G17" s="192">
        <f t="shared" si="3"/>
        <v>-0.68351351351351353</v>
      </c>
    </row>
    <row r="18" spans="1:7" ht="15">
      <c r="A18" s="189" t="str">
        <f>+KT!A17</f>
        <v>Wechselladerfahrzeug</v>
      </c>
      <c r="B18" s="190">
        <f>+KT!P17</f>
        <v>159.64804675119387</v>
      </c>
      <c r="C18" s="190">
        <f>(70+23*150)/24</f>
        <v>146.66666666666666</v>
      </c>
      <c r="D18" s="191">
        <f t="shared" si="0"/>
        <v>12.981380084527217</v>
      </c>
      <c r="E18" s="192">
        <f t="shared" si="1"/>
        <v>8.8509409667230976E-2</v>
      </c>
      <c r="F18" s="193">
        <f t="shared" si="2"/>
        <v>159.6</v>
      </c>
      <c r="G18" s="192">
        <f t="shared" si="3"/>
        <v>8.8181818181818139E-2</v>
      </c>
    </row>
    <row r="19" spans="1:7" ht="15">
      <c r="A19" s="187"/>
      <c r="B19" s="194"/>
      <c r="C19" s="187"/>
      <c r="D19" s="187"/>
      <c r="E19" s="187"/>
      <c r="F19" s="187"/>
      <c r="G19" s="187"/>
    </row>
    <row r="20" spans="1:7" s="10" customFormat="1" ht="15.75">
      <c r="A20" s="188" t="s">
        <v>44</v>
      </c>
      <c r="B20" s="188" t="s">
        <v>108</v>
      </c>
      <c r="C20" s="188" t="s">
        <v>109</v>
      </c>
      <c r="D20" s="188" t="s">
        <v>83</v>
      </c>
      <c r="E20" s="188" t="s">
        <v>110</v>
      </c>
      <c r="F20" s="188" t="s">
        <v>111</v>
      </c>
      <c r="G20" s="188" t="s">
        <v>110</v>
      </c>
    </row>
    <row r="21" spans="1:7" ht="15">
      <c r="A21" s="189" t="str">
        <f>+KT!A23</f>
        <v>mittl. Dienst BF</v>
      </c>
      <c r="B21" s="190">
        <f>+KT!J23</f>
        <v>48.367185528185416</v>
      </c>
      <c r="C21" s="190">
        <v>39</v>
      </c>
      <c r="D21" s="191">
        <f>+B21-C21</f>
        <v>9.3671855281854164</v>
      </c>
      <c r="E21" s="192">
        <f>+D21/C21</f>
        <v>0.24018424431244659</v>
      </c>
      <c r="F21" s="193">
        <f>+ROUNDDOWN(B21*$E$1,$E$2)</f>
        <v>48.3</v>
      </c>
      <c r="G21" s="192">
        <f>+F21/C21-1</f>
        <v>0.23846153846153828</v>
      </c>
    </row>
    <row r="22" spans="1:7" ht="15">
      <c r="A22" s="189" t="str">
        <f>+KT!A24</f>
        <v>geh. Dienst BF</v>
      </c>
      <c r="B22" s="190">
        <f>+KT!J24</f>
        <v>69.028517506888207</v>
      </c>
      <c r="C22" s="190">
        <v>39</v>
      </c>
      <c r="D22" s="191">
        <f t="shared" ref="D22:D24" si="4">+B22-C22</f>
        <v>30.028517506888207</v>
      </c>
      <c r="E22" s="192">
        <f t="shared" ref="E22:E24" si="5">+D22/C22</f>
        <v>0.76996198735610788</v>
      </c>
      <c r="F22" s="193">
        <f t="shared" ref="F22:F24" si="6">+ROUNDDOWN(B22*$E$1,$E$2)</f>
        <v>69</v>
      </c>
      <c r="G22" s="192">
        <f t="shared" ref="G22:G24" si="7">+F22/C22-1</f>
        <v>0.76923076923076916</v>
      </c>
    </row>
    <row r="23" spans="1:7" ht="15">
      <c r="A23" s="189" t="str">
        <f>+KT!A25</f>
        <v>höh. Dienst BF</v>
      </c>
      <c r="B23" s="190">
        <f>+KT!J25</f>
        <v>82.450227026189168</v>
      </c>
      <c r="C23" s="190">
        <v>39</v>
      </c>
      <c r="D23" s="191">
        <f t="shared" si="4"/>
        <v>43.450227026189168</v>
      </c>
      <c r="E23" s="192">
        <f t="shared" si="5"/>
        <v>1.1141083852869018</v>
      </c>
      <c r="F23" s="193">
        <f t="shared" si="6"/>
        <v>82.4</v>
      </c>
      <c r="G23" s="192">
        <f t="shared" si="7"/>
        <v>1.1128205128205129</v>
      </c>
    </row>
    <row r="24" spans="1:7" ht="15">
      <c r="A24" s="189" t="str">
        <f>+KT!A26</f>
        <v>Freiwillige Feuerwehr</v>
      </c>
      <c r="B24" s="190">
        <f>+KT!J26</f>
        <v>37.492623842010886</v>
      </c>
      <c r="C24" s="190">
        <v>19</v>
      </c>
      <c r="D24" s="191">
        <f t="shared" si="4"/>
        <v>18.492623842010886</v>
      </c>
      <c r="E24" s="192">
        <f t="shared" si="5"/>
        <v>0.97329599168478342</v>
      </c>
      <c r="F24" s="193">
        <f t="shared" si="6"/>
        <v>37.4</v>
      </c>
      <c r="G24" s="192">
        <f t="shared" si="7"/>
        <v>0.96842105263157885</v>
      </c>
    </row>
    <row r="31" spans="1:7">
      <c r="A31" s="126" t="s">
        <v>510</v>
      </c>
    </row>
  </sheetData>
  <pageMargins left="1.1023622047244095" right="0.70866141732283472" top="1.1811023622047245" bottom="0.78740157480314965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I22"/>
  <sheetViews>
    <sheetView zoomScale="160" zoomScaleNormal="160" workbookViewId="0">
      <selection activeCell="K9" sqref="K9"/>
    </sheetView>
  </sheetViews>
  <sheetFormatPr baseColWidth="10" defaultColWidth="9.28515625" defaultRowHeight="12.75"/>
  <cols>
    <col min="1" max="1" width="3.42578125" style="2" bestFit="1" customWidth="1"/>
    <col min="2" max="2" width="27.7109375" style="2" customWidth="1"/>
    <col min="3" max="3" width="6.28515625" style="2" bestFit="1" customWidth="1"/>
    <col min="4" max="4" width="8" style="2" bestFit="1" customWidth="1"/>
    <col min="5" max="5" width="15.28515625" style="2" bestFit="1" customWidth="1"/>
    <col min="6" max="6" width="11.5703125" style="2" bestFit="1" customWidth="1"/>
    <col min="7" max="7" width="12.7109375" style="2" customWidth="1"/>
    <col min="8" max="8" width="10" style="2" customWidth="1"/>
    <col min="9" max="16384" width="9.28515625" style="2"/>
  </cols>
  <sheetData>
    <row r="1" spans="1:9" ht="38.1" customHeight="1">
      <c r="A1" s="112" t="s">
        <v>0</v>
      </c>
      <c r="B1" s="113" t="s">
        <v>9</v>
      </c>
      <c r="C1" s="114" t="s">
        <v>17</v>
      </c>
      <c r="D1" s="113" t="s">
        <v>16</v>
      </c>
      <c r="E1" s="110" t="str">
        <f>+B2</f>
        <v>Fahrzeuge</v>
      </c>
      <c r="F1" s="110" t="str">
        <f>+B3</f>
        <v>Personal</v>
      </c>
      <c r="G1" s="111" t="str">
        <f>+B4</f>
        <v>Gebäude</v>
      </c>
      <c r="H1" s="111" t="str">
        <f>+B5</f>
        <v>Verwaltung</v>
      </c>
      <c r="I1" s="49" t="s">
        <v>15</v>
      </c>
    </row>
    <row r="2" spans="1:9" ht="25.15" customHeight="1">
      <c r="A2" s="178">
        <v>1</v>
      </c>
      <c r="B2" s="57" t="str">
        <f>+Legende!A2</f>
        <v>Fahrzeuge</v>
      </c>
      <c r="C2" s="57" t="str">
        <f>+Legende!B2</f>
        <v>FZ</v>
      </c>
      <c r="D2" s="174" t="s">
        <v>13</v>
      </c>
      <c r="E2" s="184">
        <v>100</v>
      </c>
      <c r="F2" s="184"/>
      <c r="G2" s="184"/>
      <c r="H2" s="184"/>
      <c r="I2" s="184">
        <f t="shared" ref="I2:I11" si="0">SUM(E2:H2)</f>
        <v>100</v>
      </c>
    </row>
    <row r="3" spans="1:9" ht="25.15" customHeight="1">
      <c r="A3" s="178">
        <v>2</v>
      </c>
      <c r="B3" s="57" t="str">
        <f>+Legende!A3</f>
        <v>Personal</v>
      </c>
      <c r="C3" s="57" t="str">
        <f>+Legende!B3</f>
        <v>PE</v>
      </c>
      <c r="D3" s="174" t="s">
        <v>13</v>
      </c>
      <c r="E3" s="184"/>
      <c r="F3" s="184">
        <v>100</v>
      </c>
      <c r="G3" s="184"/>
      <c r="H3" s="184"/>
      <c r="I3" s="184">
        <f t="shared" si="0"/>
        <v>100</v>
      </c>
    </row>
    <row r="4" spans="1:9" ht="25.15" customHeight="1">
      <c r="A4" s="178">
        <v>3</v>
      </c>
      <c r="B4" s="57" t="str">
        <f>+Legende!A4</f>
        <v>Gebäude</v>
      </c>
      <c r="C4" s="57" t="str">
        <f>+Legende!B4</f>
        <v>Gb</v>
      </c>
      <c r="D4" s="174" t="s">
        <v>13</v>
      </c>
      <c r="E4" s="184"/>
      <c r="F4" s="184"/>
      <c r="G4" s="184">
        <v>100</v>
      </c>
      <c r="H4" s="184"/>
      <c r="I4" s="184">
        <f t="shared" si="0"/>
        <v>100</v>
      </c>
    </row>
    <row r="5" spans="1:9" ht="25.15" customHeight="1">
      <c r="A5" s="178">
        <v>4</v>
      </c>
      <c r="B5" s="57" t="str">
        <f>+Legende!A5</f>
        <v>Verwaltung</v>
      </c>
      <c r="C5" s="57" t="str">
        <f>+Legende!B5</f>
        <v>VW</v>
      </c>
      <c r="D5" s="174" t="s">
        <v>13</v>
      </c>
      <c r="E5" s="184"/>
      <c r="F5" s="184"/>
      <c r="G5" s="184"/>
      <c r="H5" s="184">
        <v>100</v>
      </c>
      <c r="I5" s="184">
        <f t="shared" si="0"/>
        <v>100</v>
      </c>
    </row>
    <row r="6" spans="1:9" ht="27" customHeight="1">
      <c r="A6" s="185">
        <v>5</v>
      </c>
      <c r="B6" s="174" t="s">
        <v>406</v>
      </c>
      <c r="C6" s="185"/>
      <c r="D6" s="174"/>
      <c r="E6" s="184"/>
      <c r="F6" s="184"/>
      <c r="G6" s="184"/>
      <c r="H6" s="184"/>
      <c r="I6" s="184">
        <f t="shared" si="0"/>
        <v>0</v>
      </c>
    </row>
    <row r="7" spans="1:9" ht="25.15" customHeight="1">
      <c r="A7" s="185">
        <v>6</v>
      </c>
      <c r="B7" s="174"/>
      <c r="C7" s="185"/>
      <c r="D7" s="174"/>
      <c r="E7" s="184"/>
      <c r="F7" s="184"/>
      <c r="G7" s="184"/>
      <c r="H7" s="184"/>
      <c r="I7" s="184">
        <f t="shared" si="0"/>
        <v>0</v>
      </c>
    </row>
    <row r="8" spans="1:9" ht="25.15" customHeight="1">
      <c r="A8" s="185">
        <v>7</v>
      </c>
      <c r="B8" s="174"/>
      <c r="C8" s="185"/>
      <c r="D8" s="174"/>
      <c r="E8" s="184"/>
      <c r="F8" s="184"/>
      <c r="G8" s="184"/>
      <c r="H8" s="184"/>
      <c r="I8" s="184">
        <f t="shared" si="0"/>
        <v>0</v>
      </c>
    </row>
    <row r="9" spans="1:9" ht="25.15" customHeight="1">
      <c r="A9" s="185">
        <v>8</v>
      </c>
      <c r="B9" s="174"/>
      <c r="C9" s="185"/>
      <c r="D9" s="174"/>
      <c r="E9" s="184"/>
      <c r="F9" s="184"/>
      <c r="G9" s="184"/>
      <c r="H9" s="184"/>
      <c r="I9" s="184">
        <f t="shared" si="0"/>
        <v>0</v>
      </c>
    </row>
    <row r="10" spans="1:9" ht="25.15" customHeight="1">
      <c r="A10" s="185">
        <v>9</v>
      </c>
      <c r="B10" s="174"/>
      <c r="C10" s="185"/>
      <c r="D10" s="174"/>
      <c r="E10" s="184"/>
      <c r="F10" s="184"/>
      <c r="G10" s="184"/>
      <c r="H10" s="184"/>
      <c r="I10" s="184">
        <f t="shared" si="0"/>
        <v>0</v>
      </c>
    </row>
    <row r="11" spans="1:9" ht="25.15" customHeight="1">
      <c r="A11" s="185">
        <v>10</v>
      </c>
      <c r="B11" s="174"/>
      <c r="C11" s="185"/>
      <c r="D11" s="174"/>
      <c r="E11" s="184"/>
      <c r="F11" s="184"/>
      <c r="G11" s="184"/>
      <c r="H11" s="184"/>
      <c r="I11" s="184">
        <f t="shared" si="0"/>
        <v>0</v>
      </c>
    </row>
    <row r="13" spans="1:9">
      <c r="A13" s="2">
        <f t="shared" ref="A13:D15" si="1">+A2</f>
        <v>1</v>
      </c>
      <c r="B13" s="2" t="str">
        <f t="shared" si="1"/>
        <v>Fahrzeuge</v>
      </c>
      <c r="C13" s="2" t="str">
        <f t="shared" si="1"/>
        <v>FZ</v>
      </c>
      <c r="D13" s="2" t="str">
        <f t="shared" si="1"/>
        <v>Prozent</v>
      </c>
      <c r="E13" s="53">
        <f t="shared" ref="E13:H22" si="2">+E2/$I2</f>
        <v>1</v>
      </c>
      <c r="F13" s="53">
        <f t="shared" si="2"/>
        <v>0</v>
      </c>
      <c r="G13" s="53">
        <f t="shared" si="2"/>
        <v>0</v>
      </c>
      <c r="H13" s="53">
        <f t="shared" si="2"/>
        <v>0</v>
      </c>
      <c r="I13" s="53">
        <f t="shared" ref="I13:I22" si="3">SUM(E13:H13)</f>
        <v>1</v>
      </c>
    </row>
    <row r="14" spans="1:9">
      <c r="A14" s="2">
        <f t="shared" si="1"/>
        <v>2</v>
      </c>
      <c r="B14" s="2" t="str">
        <f t="shared" si="1"/>
        <v>Personal</v>
      </c>
      <c r="C14" s="2" t="str">
        <f t="shared" si="1"/>
        <v>PE</v>
      </c>
      <c r="D14" s="2" t="str">
        <f t="shared" si="1"/>
        <v>Prozent</v>
      </c>
      <c r="E14" s="53">
        <f t="shared" si="2"/>
        <v>0</v>
      </c>
      <c r="F14" s="53">
        <f t="shared" si="2"/>
        <v>1</v>
      </c>
      <c r="G14" s="53">
        <f t="shared" si="2"/>
        <v>0</v>
      </c>
      <c r="H14" s="53">
        <f t="shared" si="2"/>
        <v>0</v>
      </c>
      <c r="I14" s="53">
        <f t="shared" si="3"/>
        <v>1</v>
      </c>
    </row>
    <row r="15" spans="1:9">
      <c r="A15" s="2">
        <f t="shared" si="1"/>
        <v>3</v>
      </c>
      <c r="B15" s="2" t="str">
        <f t="shared" si="1"/>
        <v>Gebäude</v>
      </c>
      <c r="C15" s="2" t="str">
        <f t="shared" si="1"/>
        <v>Gb</v>
      </c>
      <c r="D15" s="2" t="str">
        <f t="shared" si="1"/>
        <v>Prozent</v>
      </c>
      <c r="E15" s="53">
        <f t="shared" si="2"/>
        <v>0</v>
      </c>
      <c r="F15" s="53">
        <f t="shared" si="2"/>
        <v>0</v>
      </c>
      <c r="G15" s="53">
        <f t="shared" si="2"/>
        <v>1</v>
      </c>
      <c r="H15" s="53">
        <f t="shared" si="2"/>
        <v>0</v>
      </c>
      <c r="I15" s="53">
        <f t="shared" si="3"/>
        <v>1</v>
      </c>
    </row>
    <row r="16" spans="1:9">
      <c r="A16" s="2">
        <f t="shared" ref="A16:D16" si="4">+A5</f>
        <v>4</v>
      </c>
      <c r="B16" s="2" t="str">
        <f t="shared" si="4"/>
        <v>Verwaltung</v>
      </c>
      <c r="C16" s="2" t="str">
        <f t="shared" si="4"/>
        <v>VW</v>
      </c>
      <c r="D16" s="2" t="str">
        <f t="shared" si="4"/>
        <v>Prozent</v>
      </c>
      <c r="E16" s="53">
        <f t="shared" si="2"/>
        <v>0</v>
      </c>
      <c r="F16" s="53">
        <f t="shared" si="2"/>
        <v>0</v>
      </c>
      <c r="G16" s="53">
        <f t="shared" si="2"/>
        <v>0</v>
      </c>
      <c r="H16" s="53">
        <f t="shared" si="2"/>
        <v>1</v>
      </c>
      <c r="I16" s="53">
        <f t="shared" si="3"/>
        <v>1</v>
      </c>
    </row>
    <row r="17" spans="1:9">
      <c r="A17" s="2">
        <f t="shared" ref="A17:D17" si="5">+A6</f>
        <v>5</v>
      </c>
      <c r="B17" s="2" t="str">
        <f t="shared" si="5"/>
        <v>PLATZHALTER FÜR EIGENE VERTEILERSCHLÜSSEL</v>
      </c>
      <c r="C17" s="2">
        <f t="shared" si="5"/>
        <v>0</v>
      </c>
      <c r="D17" s="2">
        <f t="shared" si="5"/>
        <v>0</v>
      </c>
      <c r="E17" s="53" t="e">
        <f t="shared" si="2"/>
        <v>#DIV/0!</v>
      </c>
      <c r="F17" s="53" t="e">
        <f t="shared" si="2"/>
        <v>#DIV/0!</v>
      </c>
      <c r="G17" s="53" t="e">
        <f t="shared" si="2"/>
        <v>#DIV/0!</v>
      </c>
      <c r="H17" s="53" t="e">
        <f t="shared" si="2"/>
        <v>#DIV/0!</v>
      </c>
      <c r="I17" s="53" t="e">
        <f t="shared" si="3"/>
        <v>#DIV/0!</v>
      </c>
    </row>
    <row r="18" spans="1:9">
      <c r="A18" s="2">
        <f t="shared" ref="A18:D18" si="6">+A7</f>
        <v>6</v>
      </c>
      <c r="B18" s="2">
        <f t="shared" si="6"/>
        <v>0</v>
      </c>
      <c r="C18" s="2">
        <f t="shared" si="6"/>
        <v>0</v>
      </c>
      <c r="D18" s="2">
        <f t="shared" si="6"/>
        <v>0</v>
      </c>
      <c r="E18" s="53" t="e">
        <f t="shared" si="2"/>
        <v>#DIV/0!</v>
      </c>
      <c r="F18" s="53" t="e">
        <f t="shared" si="2"/>
        <v>#DIV/0!</v>
      </c>
      <c r="G18" s="53" t="e">
        <f t="shared" si="2"/>
        <v>#DIV/0!</v>
      </c>
      <c r="H18" s="53" t="e">
        <f t="shared" si="2"/>
        <v>#DIV/0!</v>
      </c>
      <c r="I18" s="53" t="e">
        <f t="shared" si="3"/>
        <v>#DIV/0!</v>
      </c>
    </row>
    <row r="19" spans="1:9">
      <c r="A19" s="2">
        <f t="shared" ref="A19:D19" si="7">+A8</f>
        <v>7</v>
      </c>
      <c r="B19" s="2">
        <f t="shared" si="7"/>
        <v>0</v>
      </c>
      <c r="C19" s="2">
        <f t="shared" si="7"/>
        <v>0</v>
      </c>
      <c r="D19" s="2">
        <f t="shared" si="7"/>
        <v>0</v>
      </c>
      <c r="E19" s="53" t="e">
        <f t="shared" si="2"/>
        <v>#DIV/0!</v>
      </c>
      <c r="F19" s="53" t="e">
        <f t="shared" si="2"/>
        <v>#DIV/0!</v>
      </c>
      <c r="G19" s="53" t="e">
        <f t="shared" si="2"/>
        <v>#DIV/0!</v>
      </c>
      <c r="H19" s="53" t="e">
        <f t="shared" si="2"/>
        <v>#DIV/0!</v>
      </c>
      <c r="I19" s="53" t="e">
        <f t="shared" si="3"/>
        <v>#DIV/0!</v>
      </c>
    </row>
    <row r="20" spans="1:9">
      <c r="A20" s="2">
        <f t="shared" ref="A20:D20" si="8">+A9</f>
        <v>8</v>
      </c>
      <c r="B20" s="2">
        <f t="shared" si="8"/>
        <v>0</v>
      </c>
      <c r="C20" s="2">
        <f t="shared" si="8"/>
        <v>0</v>
      </c>
      <c r="D20" s="2">
        <f t="shared" si="8"/>
        <v>0</v>
      </c>
      <c r="E20" s="53" t="e">
        <f t="shared" si="2"/>
        <v>#DIV/0!</v>
      </c>
      <c r="F20" s="53" t="e">
        <f t="shared" si="2"/>
        <v>#DIV/0!</v>
      </c>
      <c r="G20" s="53" t="e">
        <f t="shared" si="2"/>
        <v>#DIV/0!</v>
      </c>
      <c r="H20" s="53" t="e">
        <f t="shared" si="2"/>
        <v>#DIV/0!</v>
      </c>
      <c r="I20" s="53" t="e">
        <f t="shared" si="3"/>
        <v>#DIV/0!</v>
      </c>
    </row>
    <row r="21" spans="1:9">
      <c r="A21" s="2">
        <f t="shared" ref="A21:D21" si="9">+A10</f>
        <v>9</v>
      </c>
      <c r="B21" s="2">
        <f t="shared" si="9"/>
        <v>0</v>
      </c>
      <c r="C21" s="2">
        <f t="shared" si="9"/>
        <v>0</v>
      </c>
      <c r="D21" s="2">
        <f t="shared" si="9"/>
        <v>0</v>
      </c>
      <c r="E21" s="53" t="e">
        <f t="shared" si="2"/>
        <v>#DIV/0!</v>
      </c>
      <c r="F21" s="53" t="e">
        <f t="shared" si="2"/>
        <v>#DIV/0!</v>
      </c>
      <c r="G21" s="53" t="e">
        <f t="shared" si="2"/>
        <v>#DIV/0!</v>
      </c>
      <c r="H21" s="53" t="e">
        <f t="shared" si="2"/>
        <v>#DIV/0!</v>
      </c>
      <c r="I21" s="53" t="e">
        <f t="shared" si="3"/>
        <v>#DIV/0!</v>
      </c>
    </row>
    <row r="22" spans="1:9">
      <c r="A22" s="2">
        <f>+A11</f>
        <v>10</v>
      </c>
      <c r="B22" s="2">
        <f t="shared" ref="B22:D22" si="10">+B11</f>
        <v>0</v>
      </c>
      <c r="C22" s="2">
        <f t="shared" si="10"/>
        <v>0</v>
      </c>
      <c r="D22" s="2">
        <f t="shared" si="10"/>
        <v>0</v>
      </c>
      <c r="E22" s="53" t="e">
        <f t="shared" si="2"/>
        <v>#DIV/0!</v>
      </c>
      <c r="F22" s="53" t="e">
        <f t="shared" si="2"/>
        <v>#DIV/0!</v>
      </c>
      <c r="G22" s="53" t="e">
        <f t="shared" si="2"/>
        <v>#DIV/0!</v>
      </c>
      <c r="H22" s="53" t="e">
        <f t="shared" si="2"/>
        <v>#DIV/0!</v>
      </c>
      <c r="I22" s="53" t="e">
        <f t="shared" si="3"/>
        <v>#DIV/0!</v>
      </c>
    </row>
  </sheetData>
  <sheetProtection formatCells="0" formatColumns="0" formatRows="0" insertColumns="0" insertRows="0" insertHyperlinks="0" deleteColumns="0" deleteRows="0" sort="0" autoFilter="0" pivotTables="0"/>
  <printOptions headings="1" gridLines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headerFooter>
    <oddFooter>&amp;L&amp;A&amp;R&amp;P/&amp;N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6"/>
  <dimension ref="A1:L22"/>
  <sheetViews>
    <sheetView topLeftCell="A7" zoomScale="130" zoomScaleNormal="130" workbookViewId="0">
      <selection activeCell="G30" sqref="G30"/>
    </sheetView>
  </sheetViews>
  <sheetFormatPr baseColWidth="10" defaultColWidth="11.42578125" defaultRowHeight="15"/>
  <cols>
    <col min="1" max="1" width="3.7109375" style="3" customWidth="1"/>
    <col min="2" max="2" width="35.7109375" style="3" customWidth="1"/>
    <col min="3" max="3" width="13.7109375" style="3" customWidth="1"/>
    <col min="4" max="4" width="9.5703125" style="3" bestFit="1" customWidth="1"/>
    <col min="5" max="5" width="7" style="3" bestFit="1" customWidth="1"/>
    <col min="6" max="6" width="3.7109375" style="3" customWidth="1"/>
    <col min="7" max="7" width="20" style="3" bestFit="1" customWidth="1"/>
    <col min="8" max="8" width="14.42578125" style="3" bestFit="1" customWidth="1"/>
    <col min="9" max="12" width="7.85546875" style="3" bestFit="1" customWidth="1"/>
    <col min="13" max="16384" width="11.42578125" style="3"/>
  </cols>
  <sheetData>
    <row r="1" spans="1:12" ht="47.25">
      <c r="A1" s="14" t="s">
        <v>0</v>
      </c>
      <c r="B1" s="15" t="s">
        <v>127</v>
      </c>
      <c r="C1" s="16" t="s">
        <v>55</v>
      </c>
      <c r="D1" s="17" t="s">
        <v>56</v>
      </c>
      <c r="E1" s="17" t="s">
        <v>18</v>
      </c>
      <c r="F1" s="18"/>
      <c r="G1" s="18"/>
      <c r="H1" s="15" t="s">
        <v>57</v>
      </c>
      <c r="I1" s="15" t="s">
        <v>8</v>
      </c>
      <c r="J1" s="15" t="s">
        <v>8</v>
      </c>
      <c r="K1" s="15" t="s">
        <v>8</v>
      </c>
      <c r="L1" s="15" t="s">
        <v>8</v>
      </c>
    </row>
    <row r="2" spans="1:12" ht="29.25">
      <c r="A2" s="19">
        <v>1</v>
      </c>
      <c r="B2" s="20" t="s">
        <v>28</v>
      </c>
      <c r="C2" s="21" t="s">
        <v>11</v>
      </c>
      <c r="D2" s="22">
        <v>1.55E-2</v>
      </c>
      <c r="E2" s="23">
        <f>IF(D2&lt;=0,0,ROUNDUP(D2/25,4)*25)</f>
        <v>1.7499999999999998E-2</v>
      </c>
      <c r="F2" s="85"/>
      <c r="G2" s="18" t="s">
        <v>58</v>
      </c>
      <c r="H2" s="167">
        <v>108</v>
      </c>
      <c r="I2" s="167">
        <v>124.8</v>
      </c>
      <c r="J2" s="167">
        <v>124.8</v>
      </c>
      <c r="K2" s="167">
        <v>124.8</v>
      </c>
      <c r="L2" s="167">
        <v>124.8</v>
      </c>
    </row>
    <row r="3" spans="1:12" ht="43.5">
      <c r="A3" s="19">
        <v>2</v>
      </c>
      <c r="B3" s="20" t="s">
        <v>23</v>
      </c>
      <c r="C3" s="21" t="s">
        <v>7</v>
      </c>
      <c r="D3" s="22">
        <v>2.7300000000000001E-2</v>
      </c>
      <c r="E3" s="23">
        <f t="shared" ref="E3:E12" si="0">IF(D3&lt;=0,0,ROUNDUP(D3/25,4)*25)</f>
        <v>2.75E-2</v>
      </c>
      <c r="F3" s="85"/>
      <c r="G3" s="18" t="s">
        <v>59</v>
      </c>
      <c r="H3" s="168">
        <v>100</v>
      </c>
      <c r="I3" s="168">
        <v>100</v>
      </c>
      <c r="J3" s="168">
        <v>125.8</v>
      </c>
      <c r="K3" s="168">
        <v>100</v>
      </c>
      <c r="L3" s="168">
        <v>100</v>
      </c>
    </row>
    <row r="4" spans="1:12">
      <c r="A4" s="19">
        <v>3</v>
      </c>
      <c r="B4" s="20" t="s">
        <v>26</v>
      </c>
      <c r="C4" s="21" t="s">
        <v>27</v>
      </c>
      <c r="D4" s="22">
        <v>1.0800000000000001E-2</v>
      </c>
      <c r="E4" s="23">
        <f t="shared" si="0"/>
        <v>1.2500000000000001E-2</v>
      </c>
      <c r="F4" s="85"/>
      <c r="G4" s="18" t="s">
        <v>60</v>
      </c>
      <c r="H4" s="168">
        <v>2015</v>
      </c>
      <c r="I4" s="168">
        <v>2015</v>
      </c>
      <c r="J4" s="168">
        <v>2015</v>
      </c>
      <c r="K4" s="168">
        <v>2015</v>
      </c>
      <c r="L4" s="168">
        <v>2015</v>
      </c>
    </row>
    <row r="5" spans="1:12" ht="29.25">
      <c r="A5" s="19">
        <v>4</v>
      </c>
      <c r="B5" s="20" t="s">
        <v>114</v>
      </c>
      <c r="C5" s="21" t="s">
        <v>24</v>
      </c>
      <c r="D5" s="22">
        <v>-1.83E-2</v>
      </c>
      <c r="E5" s="23">
        <f t="shared" si="0"/>
        <v>0</v>
      </c>
      <c r="F5" s="85"/>
      <c r="G5" s="18" t="s">
        <v>61</v>
      </c>
      <c r="H5" s="168">
        <v>2010</v>
      </c>
      <c r="I5" s="168">
        <v>2010</v>
      </c>
      <c r="J5" s="168">
        <v>2014</v>
      </c>
      <c r="K5" s="168">
        <v>2010</v>
      </c>
      <c r="L5" s="168">
        <v>2010</v>
      </c>
    </row>
    <row r="6" spans="1:12">
      <c r="A6" s="19">
        <v>5</v>
      </c>
      <c r="B6" s="20" t="s">
        <v>21</v>
      </c>
      <c r="C6" s="21" t="s">
        <v>22</v>
      </c>
      <c r="D6" s="22">
        <v>-1.4800000000000001E-2</v>
      </c>
      <c r="E6" s="23">
        <f t="shared" si="0"/>
        <v>0</v>
      </c>
      <c r="F6" s="85"/>
      <c r="G6" s="18" t="s">
        <v>62</v>
      </c>
      <c r="H6" s="18">
        <f>+H4-H5</f>
        <v>5</v>
      </c>
      <c r="I6" s="18">
        <f>+I4-I5</f>
        <v>5</v>
      </c>
      <c r="J6" s="18">
        <f t="shared" ref="J6:L6" si="1">+J4-J5</f>
        <v>1</v>
      </c>
      <c r="K6" s="18">
        <f t="shared" si="1"/>
        <v>5</v>
      </c>
      <c r="L6" s="18">
        <f t="shared" si="1"/>
        <v>5</v>
      </c>
    </row>
    <row r="7" spans="1:12" ht="29.25">
      <c r="A7" s="19">
        <v>6</v>
      </c>
      <c r="B7" s="20" t="s">
        <v>63</v>
      </c>
      <c r="C7" s="21" t="s">
        <v>64</v>
      </c>
      <c r="D7" s="22">
        <v>2.1100000000000001E-2</v>
      </c>
      <c r="E7" s="23">
        <f t="shared" si="0"/>
        <v>2.2500000000000003E-2</v>
      </c>
      <c r="F7" s="85"/>
      <c r="G7" s="18" t="s">
        <v>65</v>
      </c>
      <c r="H7" s="28">
        <f>+H2/H3</f>
        <v>1.08</v>
      </c>
      <c r="I7" s="28">
        <f>+I2/I3</f>
        <v>1.248</v>
      </c>
      <c r="J7" s="28">
        <f t="shared" ref="J7:L7" si="2">+J2/J3</f>
        <v>0.99205087440381556</v>
      </c>
      <c r="K7" s="28">
        <f t="shared" si="2"/>
        <v>1.248</v>
      </c>
      <c r="L7" s="28">
        <f t="shared" si="2"/>
        <v>1.248</v>
      </c>
    </row>
    <row r="8" spans="1:12">
      <c r="A8" s="19">
        <v>7</v>
      </c>
      <c r="B8" s="20" t="s">
        <v>20</v>
      </c>
      <c r="C8" s="21" t="s">
        <v>12</v>
      </c>
      <c r="D8" s="22">
        <v>1.4E-2</v>
      </c>
      <c r="E8" s="23">
        <f t="shared" si="0"/>
        <v>1.5000000000000001E-2</v>
      </c>
      <c r="F8" s="85"/>
      <c r="G8" s="18" t="s">
        <v>66</v>
      </c>
      <c r="H8" s="24">
        <f>+(H7)^(1/H6)-1</f>
        <v>1.5511278397481565E-2</v>
      </c>
      <c r="I8" s="24">
        <f>+(I7)^(1/I6)-1</f>
        <v>4.5304733581652101E-2</v>
      </c>
      <c r="J8" s="24">
        <f t="shared" ref="J8:L8" si="3">+(J7)^(1/J6)-1</f>
        <v>-7.9491255961844365E-3</v>
      </c>
      <c r="K8" s="24">
        <f t="shared" si="3"/>
        <v>4.5304733581652101E-2</v>
      </c>
      <c r="L8" s="24">
        <f t="shared" si="3"/>
        <v>4.5304733581652101E-2</v>
      </c>
    </row>
    <row r="9" spans="1:12">
      <c r="A9" s="19">
        <v>8</v>
      </c>
      <c r="B9" s="20" t="s">
        <v>67</v>
      </c>
      <c r="C9" s="21" t="s">
        <v>25</v>
      </c>
      <c r="D9" s="25">
        <v>2.58E-2</v>
      </c>
      <c r="E9" s="23">
        <f t="shared" si="0"/>
        <v>2.75E-2</v>
      </c>
      <c r="F9" s="85"/>
      <c r="G9" s="24"/>
      <c r="H9" s="18"/>
      <c r="I9" s="18"/>
    </row>
    <row r="10" spans="1:12">
      <c r="A10" s="19">
        <v>9</v>
      </c>
      <c r="B10" s="20" t="s">
        <v>19</v>
      </c>
      <c r="C10" s="21">
        <v>0</v>
      </c>
      <c r="D10" s="25">
        <v>0</v>
      </c>
      <c r="E10" s="23">
        <f t="shared" si="0"/>
        <v>0</v>
      </c>
      <c r="F10" s="85"/>
      <c r="G10" s="18" t="s">
        <v>68</v>
      </c>
      <c r="H10" s="78">
        <v>10000</v>
      </c>
      <c r="I10" s="18"/>
    </row>
    <row r="11" spans="1:12" ht="29.25">
      <c r="A11" s="19">
        <v>10</v>
      </c>
      <c r="B11" s="20" t="s">
        <v>69</v>
      </c>
      <c r="C11" s="21" t="s">
        <v>70</v>
      </c>
      <c r="D11" s="25">
        <v>2.18E-2</v>
      </c>
      <c r="E11" s="23">
        <f t="shared" si="0"/>
        <v>2.2500000000000003E-2</v>
      </c>
      <c r="F11" s="85"/>
      <c r="G11" s="18" t="s">
        <v>71</v>
      </c>
      <c r="H11" s="18">
        <v>10</v>
      </c>
      <c r="I11" s="18"/>
    </row>
    <row r="12" spans="1:12" ht="29.25">
      <c r="A12" s="19">
        <v>11</v>
      </c>
      <c r="B12" s="20" t="s">
        <v>72</v>
      </c>
      <c r="C12" s="21" t="s">
        <v>73</v>
      </c>
      <c r="D12" s="25">
        <v>2.1999999999999999E-2</v>
      </c>
      <c r="E12" s="23">
        <f t="shared" si="0"/>
        <v>2.2500000000000003E-2</v>
      </c>
      <c r="F12" s="85"/>
      <c r="G12" s="18" t="s">
        <v>74</v>
      </c>
      <c r="H12" s="27">
        <v>0.02</v>
      </c>
      <c r="I12" s="18"/>
    </row>
    <row r="13" spans="1:12">
      <c r="A13" s="19">
        <v>12</v>
      </c>
      <c r="B13" s="20" t="s">
        <v>122</v>
      </c>
      <c r="C13" s="21" t="s">
        <v>123</v>
      </c>
      <c r="D13" s="25">
        <v>1.8557606506220958E-2</v>
      </c>
      <c r="E13" s="23">
        <f>IF(D13&lt;=0,0,ROUNDUP(D13/25,4)*25)</f>
        <v>0.02</v>
      </c>
      <c r="F13" s="85"/>
      <c r="G13" s="18"/>
      <c r="H13" s="18"/>
      <c r="I13" s="18"/>
    </row>
    <row r="14" spans="1:12" ht="29.25">
      <c r="A14" s="19">
        <v>13</v>
      </c>
      <c r="B14" s="20" t="s">
        <v>126</v>
      </c>
      <c r="C14" s="21" t="s">
        <v>124</v>
      </c>
      <c r="D14" s="25">
        <v>7.2928500921007888E-3</v>
      </c>
      <c r="E14" s="23">
        <f>IF(D14&lt;=0,0,ROUNDUP(D14/25,4)*25)</f>
        <v>7.5000000000000006E-3</v>
      </c>
      <c r="F14" s="85"/>
      <c r="G14" s="18" t="s">
        <v>75</v>
      </c>
      <c r="H14" s="18">
        <f>+(1+H12)^H11</f>
        <v>1.2189944199947571</v>
      </c>
      <c r="I14" s="18"/>
    </row>
    <row r="15" spans="1:12">
      <c r="A15" s="19">
        <v>14</v>
      </c>
      <c r="B15" s="20" t="s">
        <v>76</v>
      </c>
      <c r="C15" s="21" t="s">
        <v>77</v>
      </c>
      <c r="D15" s="25">
        <v>1.9199999999999998E-2</v>
      </c>
      <c r="E15" s="23">
        <f>IF(D15&lt;=0,0,ROUNDUP(D15/25,4)*25)</f>
        <v>0.02</v>
      </c>
      <c r="F15" s="85"/>
      <c r="G15" s="18"/>
      <c r="H15" s="18"/>
      <c r="I15" s="18"/>
    </row>
    <row r="16" spans="1:12">
      <c r="A16" s="19">
        <v>15</v>
      </c>
      <c r="B16" s="20" t="s">
        <v>8</v>
      </c>
      <c r="C16" s="21" t="s">
        <v>78</v>
      </c>
      <c r="D16" s="25">
        <v>4.53E-2</v>
      </c>
      <c r="E16" s="23">
        <f>IF(D16&lt;=0,0,ROUNDUP(D16/25,4)*25)</f>
        <v>4.7500000000000001E-2</v>
      </c>
      <c r="F16" s="85"/>
      <c r="G16" s="18" t="s">
        <v>79</v>
      </c>
      <c r="H16" s="26">
        <f>+H10*H14</f>
        <v>12189.944199947571</v>
      </c>
      <c r="I16" s="79"/>
    </row>
    <row r="17" spans="1:12">
      <c r="A17" s="19">
        <v>16</v>
      </c>
      <c r="B17" s="20" t="s">
        <v>80</v>
      </c>
      <c r="C17" s="21" t="s">
        <v>29</v>
      </c>
      <c r="D17" s="25">
        <v>0</v>
      </c>
      <c r="E17" s="23">
        <f>IF(D17&lt;=0,0,ROUNDUP(D17/25,4)*25)</f>
        <v>0</v>
      </c>
      <c r="F17" s="85"/>
      <c r="G17" s="18"/>
      <c r="H17" s="18"/>
      <c r="I17" s="18"/>
    </row>
    <row r="18" spans="1:12" ht="8.1" customHeight="1">
      <c r="A18" s="203"/>
      <c r="B18" s="204"/>
      <c r="C18" s="205"/>
      <c r="D18" s="206"/>
      <c r="E18" s="207"/>
      <c r="F18" s="85"/>
      <c r="G18" s="18"/>
      <c r="H18" s="18"/>
      <c r="I18" s="18"/>
    </row>
    <row r="19" spans="1:12">
      <c r="A19" s="222" t="s">
        <v>81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</row>
    <row r="20" spans="1:12">
      <c r="A20" s="86" t="s">
        <v>125</v>
      </c>
    </row>
    <row r="22" spans="1:12">
      <c r="A22" s="208" t="s">
        <v>511</v>
      </c>
    </row>
  </sheetData>
  <mergeCells count="1">
    <mergeCell ref="A19:L19"/>
  </mergeCells>
  <hyperlinks>
    <hyperlink ref="A20" r:id="rId1"/>
  </hyperlinks>
  <printOptions headings="1" gridLines="1"/>
  <pageMargins left="0.23622047244094491" right="0.23622047244094491" top="0.74803149606299213" bottom="0.74803149606299213" header="0.31496062992125984" footer="0.31496062992125984"/>
  <pageSetup paperSize="9" orientation="landscape" r:id="rId2"/>
  <headerFooter>
    <oddFooter>&amp;L&amp;A&amp;R&amp;P/&amp;N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36"/>
  <sheetViews>
    <sheetView zoomScale="115" zoomScaleNormal="115" workbookViewId="0">
      <selection activeCell="G32" sqref="G32"/>
    </sheetView>
  </sheetViews>
  <sheetFormatPr baseColWidth="10" defaultRowHeight="12.75"/>
  <cols>
    <col min="1" max="1" width="26.5703125" bestFit="1" customWidth="1"/>
    <col min="2" max="2" width="13.5703125" customWidth="1"/>
    <col min="3" max="3" width="9.140625" bestFit="1" customWidth="1"/>
    <col min="4" max="4" width="13.7109375" customWidth="1"/>
    <col min="5" max="6" width="10.7109375" customWidth="1"/>
    <col min="7" max="7" width="16.85546875" bestFit="1" customWidth="1"/>
    <col min="8" max="8" width="13.42578125" bestFit="1" customWidth="1"/>
    <col min="9" max="9" width="11.85546875" bestFit="1" customWidth="1"/>
    <col min="10" max="10" width="11.28515625" bestFit="1" customWidth="1"/>
  </cols>
  <sheetData>
    <row r="1" spans="1:10" s="90" customFormat="1" ht="25.5">
      <c r="A1" s="129"/>
      <c r="B1" s="129" t="s">
        <v>398</v>
      </c>
      <c r="C1" s="129" t="s">
        <v>233</v>
      </c>
      <c r="D1" s="129" t="s">
        <v>399</v>
      </c>
      <c r="E1" s="129" t="s">
        <v>236</v>
      </c>
      <c r="F1" s="129" t="s">
        <v>237</v>
      </c>
      <c r="G1" s="129" t="s">
        <v>234</v>
      </c>
      <c r="H1" s="129" t="s">
        <v>400</v>
      </c>
      <c r="I1" s="129" t="s">
        <v>401</v>
      </c>
      <c r="J1" s="129" t="s">
        <v>402</v>
      </c>
    </row>
    <row r="2" spans="1:10">
      <c r="A2" s="57" t="s">
        <v>230</v>
      </c>
      <c r="B2" s="209">
        <f>+B5-B3</f>
        <v>778.5</v>
      </c>
      <c r="C2" s="62">
        <v>0</v>
      </c>
      <c r="D2" s="55">
        <f>+B2</f>
        <v>778.5</v>
      </c>
      <c r="E2" s="130">
        <f>H16/J12</f>
        <v>0.73526011560693638</v>
      </c>
      <c r="F2" s="130">
        <f>I15/J12</f>
        <v>0.26473988439306356</v>
      </c>
      <c r="G2" s="62">
        <v>1</v>
      </c>
      <c r="H2" s="55">
        <f>+$D2*E2</f>
        <v>572.4</v>
      </c>
      <c r="I2" s="55">
        <f>+$D2*F2</f>
        <v>206.1</v>
      </c>
      <c r="J2" s="55">
        <f>SUM(H2:I2)</f>
        <v>778.5</v>
      </c>
    </row>
    <row r="3" spans="1:10">
      <c r="A3" s="57" t="s">
        <v>231</v>
      </c>
      <c r="B3" s="209">
        <v>2820.1</v>
      </c>
      <c r="C3" s="130">
        <v>0.28199999999999997</v>
      </c>
      <c r="D3" s="55">
        <f>+B3*(1-C3)</f>
        <v>2024.8317999999999</v>
      </c>
      <c r="E3" s="62">
        <f>B4/D3</f>
        <v>0.34981029041523354</v>
      </c>
      <c r="F3" s="130">
        <f>+G3-E3</f>
        <v>0.65018970958476641</v>
      </c>
      <c r="G3" s="62">
        <v>1</v>
      </c>
      <c r="H3" s="55">
        <f>+$D3*E3</f>
        <v>708.30700000000002</v>
      </c>
      <c r="I3" s="55">
        <f>+$D3*F3</f>
        <v>1316.5247999999997</v>
      </c>
      <c r="J3" s="55">
        <f>SUM(H3:I3)</f>
        <v>2024.8317999999997</v>
      </c>
    </row>
    <row r="4" spans="1:10">
      <c r="A4" s="131" t="s">
        <v>238</v>
      </c>
      <c r="B4" s="210">
        <f>B21*(1-C3)</f>
        <v>708.30700000000002</v>
      </c>
      <c r="C4" s="54"/>
      <c r="D4" s="54"/>
      <c r="E4" s="62"/>
      <c r="F4" s="130"/>
      <c r="G4" s="62"/>
      <c r="H4" s="55"/>
      <c r="I4" s="55"/>
      <c r="J4" s="55"/>
    </row>
    <row r="5" spans="1:10">
      <c r="A5" s="8" t="s">
        <v>235</v>
      </c>
      <c r="B5" s="211">
        <v>3598.6</v>
      </c>
      <c r="C5" s="8"/>
      <c r="D5" s="59">
        <f>+D3+D2</f>
        <v>2803.3317999999999</v>
      </c>
      <c r="E5" s="54"/>
      <c r="F5" s="54"/>
      <c r="G5" s="54"/>
      <c r="H5" s="54"/>
      <c r="I5" s="54"/>
      <c r="J5" s="54"/>
    </row>
    <row r="6" spans="1:10">
      <c r="A6" s="57" t="s">
        <v>232</v>
      </c>
      <c r="B6" s="209">
        <f>J23</f>
        <v>242.0172</v>
      </c>
      <c r="C6" s="130">
        <v>0</v>
      </c>
      <c r="D6" s="55">
        <f>+B6</f>
        <v>242.0172</v>
      </c>
      <c r="E6" s="130">
        <f>E24</f>
        <v>0.54095328761757422</v>
      </c>
      <c r="F6" s="130">
        <f>E25</f>
        <v>0.45904671238242573</v>
      </c>
      <c r="G6" s="130">
        <f>SUM(E6:F6)</f>
        <v>1</v>
      </c>
      <c r="H6" s="55">
        <f>+$D6*E6</f>
        <v>130.91999999999999</v>
      </c>
      <c r="I6" s="55">
        <f>+$D6*F6</f>
        <v>111.0972</v>
      </c>
      <c r="J6" s="55">
        <f>SUM(H6:I6)</f>
        <v>242.0172</v>
      </c>
    </row>
    <row r="7" spans="1:10">
      <c r="A7" s="8" t="s">
        <v>234</v>
      </c>
      <c r="B7" s="212">
        <f>+B6+B5</f>
        <v>3840.6171999999997</v>
      </c>
      <c r="C7" s="8"/>
      <c r="D7" s="60">
        <f>+D5+D6</f>
        <v>3045.3490000000002</v>
      </c>
      <c r="E7" s="54"/>
      <c r="F7" s="54"/>
      <c r="G7" s="54"/>
      <c r="H7" s="54"/>
      <c r="I7" s="54"/>
      <c r="J7" s="54"/>
    </row>
    <row r="8" spans="1:10" s="13" customFormat="1">
      <c r="A8" s="8" t="s">
        <v>403</v>
      </c>
      <c r="B8" s="67">
        <v>1</v>
      </c>
      <c r="C8" s="67">
        <f>+B8-D8</f>
        <v>0.2070678119131476</v>
      </c>
      <c r="D8" s="132">
        <f>+D7/B7</f>
        <v>0.7929321880868524</v>
      </c>
      <c r="E8" s="8"/>
      <c r="F8" s="8"/>
      <c r="G8" s="8" t="s">
        <v>404</v>
      </c>
      <c r="H8" s="60">
        <f>SUM(H2:H7)</f>
        <v>1411.627</v>
      </c>
      <c r="I8" s="60">
        <f>SUM(I2:I7)</f>
        <v>1633.7219999999995</v>
      </c>
      <c r="J8" s="60">
        <f>SUM(J2:J7)</f>
        <v>3045.3490000000002</v>
      </c>
    </row>
    <row r="9" spans="1:10">
      <c r="A9" s="57"/>
      <c r="B9" s="54"/>
      <c r="C9" s="54"/>
      <c r="D9" s="54"/>
      <c r="E9" s="54"/>
      <c r="F9" s="54"/>
      <c r="G9" s="8" t="s">
        <v>405</v>
      </c>
      <c r="H9" s="132">
        <f>+H8/$J$8</f>
        <v>0.46353537804698242</v>
      </c>
      <c r="I9" s="132">
        <f>+I8/$J$8</f>
        <v>0.53646462195301736</v>
      </c>
      <c r="J9" s="67">
        <f>SUM(H9:I9)</f>
        <v>0.99999999999999978</v>
      </c>
    </row>
    <row r="12" spans="1:10">
      <c r="A12" s="153" t="s">
        <v>230</v>
      </c>
      <c r="B12" s="143">
        <v>778.5</v>
      </c>
      <c r="C12" s="143"/>
      <c r="D12" s="143"/>
      <c r="E12" s="143"/>
      <c r="F12" s="143"/>
      <c r="G12" s="143"/>
      <c r="H12" s="143"/>
      <c r="I12" s="143"/>
      <c r="J12" s="143">
        <v>778.5</v>
      </c>
    </row>
    <row r="13" spans="1:10">
      <c r="A13" s="7" t="s">
        <v>496</v>
      </c>
      <c r="B13" s="143"/>
      <c r="C13" s="143"/>
      <c r="D13" s="143"/>
      <c r="E13" s="143"/>
      <c r="F13" s="143"/>
      <c r="G13" s="143"/>
      <c r="H13" s="143"/>
      <c r="I13" s="143">
        <v>59.6</v>
      </c>
      <c r="J13" s="143"/>
    </row>
    <row r="14" spans="1:10">
      <c r="A14" s="7" t="s">
        <v>497</v>
      </c>
      <c r="B14" s="143"/>
      <c r="C14" s="143"/>
      <c r="D14" s="143"/>
      <c r="E14" s="143"/>
      <c r="F14" s="143"/>
      <c r="G14" s="143"/>
      <c r="H14" s="143"/>
      <c r="I14" s="154">
        <v>146.5</v>
      </c>
      <c r="J14" s="143"/>
    </row>
    <row r="15" spans="1:10">
      <c r="A15" s="7" t="s">
        <v>44</v>
      </c>
      <c r="B15" s="143"/>
      <c r="C15" s="143"/>
      <c r="D15" s="143"/>
      <c r="E15" s="143"/>
      <c r="F15" s="143"/>
      <c r="G15" s="143"/>
      <c r="H15" s="143"/>
      <c r="I15" s="143">
        <f>I13+I14</f>
        <v>206.1</v>
      </c>
      <c r="J15" s="143"/>
    </row>
    <row r="16" spans="1:10">
      <c r="A16" s="7" t="s">
        <v>42</v>
      </c>
      <c r="B16" s="143"/>
      <c r="C16" s="143"/>
      <c r="D16" s="143"/>
      <c r="E16" s="143"/>
      <c r="F16" s="143"/>
      <c r="G16" s="143"/>
      <c r="H16" s="143">
        <f>J12-I15</f>
        <v>572.4</v>
      </c>
      <c r="I16" s="143"/>
      <c r="J16" s="143"/>
    </row>
    <row r="17" spans="1:10">
      <c r="A17" s="7"/>
      <c r="B17" s="143"/>
      <c r="C17" s="143"/>
      <c r="D17" s="143"/>
      <c r="E17" s="143"/>
      <c r="F17" s="143"/>
      <c r="G17" s="143"/>
      <c r="H17" s="143"/>
      <c r="I17" s="143"/>
      <c r="J17" s="143"/>
    </row>
    <row r="18" spans="1:10">
      <c r="A18" s="153" t="s">
        <v>500</v>
      </c>
      <c r="B18" s="143"/>
      <c r="C18" s="143"/>
      <c r="D18" s="143"/>
      <c r="E18" s="143"/>
      <c r="F18" s="143"/>
      <c r="G18" s="143"/>
      <c r="H18" s="143"/>
      <c r="I18" s="143"/>
      <c r="J18" s="143"/>
    </row>
    <row r="19" spans="1:10">
      <c r="A19" s="7" t="s">
        <v>498</v>
      </c>
      <c r="B19" s="143">
        <v>781.5</v>
      </c>
      <c r="C19" s="143"/>
      <c r="D19" s="143"/>
      <c r="E19" s="143"/>
      <c r="F19" s="143"/>
      <c r="G19" s="143"/>
      <c r="H19" s="143"/>
      <c r="I19" s="143"/>
      <c r="J19" s="143"/>
    </row>
    <row r="20" spans="1:10">
      <c r="A20" s="7" t="s">
        <v>499</v>
      </c>
      <c r="B20" s="154">
        <v>205</v>
      </c>
      <c r="C20" s="143"/>
      <c r="D20" s="143"/>
      <c r="E20" s="143"/>
      <c r="F20" s="143"/>
      <c r="G20" s="143"/>
      <c r="H20" s="143"/>
      <c r="I20" s="143"/>
      <c r="J20" s="143"/>
    </row>
    <row r="21" spans="1:10">
      <c r="A21" s="7" t="s">
        <v>15</v>
      </c>
      <c r="B21" s="143">
        <f>SUM(B19:B20)</f>
        <v>986.5</v>
      </c>
      <c r="C21" s="143"/>
      <c r="D21" s="143"/>
      <c r="E21" s="143"/>
      <c r="F21" s="143"/>
      <c r="G21" s="143"/>
      <c r="H21" s="143"/>
      <c r="I21" s="143"/>
      <c r="J21" s="143"/>
    </row>
    <row r="22" spans="1:10">
      <c r="B22" s="143"/>
      <c r="C22" s="143"/>
      <c r="D22" s="143"/>
      <c r="E22" s="143"/>
      <c r="F22" s="143"/>
      <c r="G22" s="143"/>
      <c r="H22" s="143"/>
      <c r="I22" s="143"/>
      <c r="J22" s="143"/>
    </row>
    <row r="23" spans="1:10">
      <c r="A23" s="153" t="s">
        <v>232</v>
      </c>
      <c r="B23" s="151">
        <f>12.74*9.59+10.34*11.59</f>
        <v>242.0172</v>
      </c>
      <c r="J23" s="155">
        <f>J25+J24</f>
        <v>242.0172</v>
      </c>
    </row>
    <row r="24" spans="1:10">
      <c r="A24" s="7" t="s">
        <v>42</v>
      </c>
      <c r="E24" s="152">
        <f>J24/J23</f>
        <v>0.54095328761757422</v>
      </c>
      <c r="H24" s="151">
        <f>10.74*9.59+2*3.62</f>
        <v>110.2366</v>
      </c>
      <c r="I24" s="151"/>
      <c r="J24">
        <f>H24+$G$26/2</f>
        <v>130.91999999999999</v>
      </c>
    </row>
    <row r="25" spans="1:10">
      <c r="A25" s="7" t="s">
        <v>44</v>
      </c>
      <c r="E25" s="152">
        <f>J25/J23</f>
        <v>0.45904671238242573</v>
      </c>
      <c r="H25" s="151"/>
      <c r="I25" s="151">
        <f>6.62*11.59+5.41*1.76+3.72*1.12</f>
        <v>90.413800000000009</v>
      </c>
      <c r="J25" s="151">
        <f>I25+$G$26/2</f>
        <v>111.0972</v>
      </c>
    </row>
    <row r="26" spans="1:10">
      <c r="A26" s="7" t="s">
        <v>495</v>
      </c>
      <c r="G26" s="151">
        <f>B23-H24-I25</f>
        <v>41.366799999999984</v>
      </c>
    </row>
    <row r="36" spans="1:1">
      <c r="A36" s="126" t="s">
        <v>512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74"/>
  <sheetViews>
    <sheetView topLeftCell="E34" zoomScale="130" zoomScaleNormal="130" workbookViewId="0">
      <selection activeCell="G74" sqref="G74:H74"/>
    </sheetView>
  </sheetViews>
  <sheetFormatPr baseColWidth="10" defaultRowHeight="12.75"/>
  <cols>
    <col min="1" max="1" width="41.7109375" customWidth="1"/>
    <col min="2" max="3" width="13.42578125" bestFit="1" customWidth="1"/>
    <col min="4" max="4" width="35.7109375" bestFit="1" customWidth="1"/>
    <col min="5" max="6" width="13.42578125" bestFit="1" customWidth="1"/>
    <col min="8" max="8" width="16.7109375" customWidth="1"/>
    <col min="9" max="9" width="13.28515625" bestFit="1" customWidth="1"/>
    <col min="11" max="11" width="14.28515625" bestFit="1" customWidth="1"/>
    <col min="12" max="13" width="13.140625" bestFit="1" customWidth="1"/>
    <col min="14" max="15" width="13" bestFit="1" customWidth="1"/>
    <col min="16" max="16" width="13" customWidth="1"/>
  </cols>
  <sheetData>
    <row r="1" spans="1:16">
      <c r="A1" s="128" t="s">
        <v>438</v>
      </c>
    </row>
    <row r="2" spans="1:16">
      <c r="A2" s="128"/>
    </row>
    <row r="3" spans="1:16">
      <c r="A3" s="13" t="s">
        <v>408</v>
      </c>
      <c r="C3" s="166">
        <v>1.9E-2</v>
      </c>
    </row>
    <row r="4" spans="1:16">
      <c r="A4" s="133"/>
      <c r="B4" s="133" t="s">
        <v>409</v>
      </c>
      <c r="C4" s="133" t="s">
        <v>410</v>
      </c>
      <c r="D4" s="133" t="s">
        <v>410</v>
      </c>
      <c r="E4" s="133" t="s">
        <v>410</v>
      </c>
      <c r="F4" s="134"/>
      <c r="I4" s="133"/>
      <c r="J4" s="133"/>
      <c r="K4" s="133" t="s">
        <v>409</v>
      </c>
      <c r="L4" s="133" t="s">
        <v>410</v>
      </c>
      <c r="M4" s="133" t="s">
        <v>410</v>
      </c>
      <c r="N4" s="133" t="s">
        <v>410</v>
      </c>
      <c r="O4" s="133" t="s">
        <v>410</v>
      </c>
      <c r="P4" s="133" t="s">
        <v>458</v>
      </c>
    </row>
    <row r="5" spans="1:16">
      <c r="A5" s="13" t="s">
        <v>407</v>
      </c>
      <c r="B5" s="13">
        <v>2014</v>
      </c>
      <c r="C5">
        <f>+B5+1</f>
        <v>2015</v>
      </c>
      <c r="D5">
        <f t="shared" ref="D5:E5" si="0">+C5+1</f>
        <v>2016</v>
      </c>
      <c r="E5">
        <f t="shared" si="0"/>
        <v>2017</v>
      </c>
      <c r="F5">
        <f t="shared" ref="F5" si="1">+E5+1</f>
        <v>2018</v>
      </c>
      <c r="I5" s="7" t="s">
        <v>454</v>
      </c>
      <c r="J5" s="7" t="s">
        <v>455</v>
      </c>
      <c r="K5">
        <v>2014</v>
      </c>
      <c r="L5">
        <f>+K5+1</f>
        <v>2015</v>
      </c>
      <c r="M5">
        <f t="shared" ref="M5:O5" si="2">+L5+1</f>
        <v>2016</v>
      </c>
      <c r="N5">
        <f t="shared" si="2"/>
        <v>2017</v>
      </c>
      <c r="O5">
        <f t="shared" si="2"/>
        <v>2018</v>
      </c>
      <c r="P5">
        <v>1760</v>
      </c>
    </row>
    <row r="6" spans="1:16">
      <c r="A6" s="18">
        <v>1</v>
      </c>
      <c r="B6" s="115">
        <v>50783.98</v>
      </c>
      <c r="C6" s="116">
        <f t="shared" ref="C6:F25" si="3">+B6*(1+$C$3)^(C$5-B$5)</f>
        <v>51748.875619999999</v>
      </c>
      <c r="D6" s="116">
        <f t="shared" si="3"/>
        <v>52732.104256779996</v>
      </c>
      <c r="E6" s="116">
        <f t="shared" si="3"/>
        <v>53734.014237658812</v>
      </c>
      <c r="F6" s="116">
        <f t="shared" si="3"/>
        <v>54754.960508174321</v>
      </c>
      <c r="H6">
        <v>1</v>
      </c>
      <c r="I6">
        <v>103911.62</v>
      </c>
      <c r="J6" s="81">
        <v>0.7</v>
      </c>
      <c r="K6" s="80">
        <f>+I6*J6</f>
        <v>72738.133999999991</v>
      </c>
      <c r="L6" s="80">
        <f t="shared" ref="L6:O10" si="4">+K6*(1+$C$3)^(L$5-K$5)</f>
        <v>74120.158545999977</v>
      </c>
      <c r="M6" s="80">
        <f t="shared" si="4"/>
        <v>75528.441558373976</v>
      </c>
      <c r="N6" s="80">
        <f t="shared" si="4"/>
        <v>76963.481947983077</v>
      </c>
      <c r="O6" s="80">
        <f t="shared" si="4"/>
        <v>78425.788104994746</v>
      </c>
      <c r="P6" s="119">
        <f>+$P$5*J6</f>
        <v>1232</v>
      </c>
    </row>
    <row r="7" spans="1:16">
      <c r="A7" s="18">
        <v>2</v>
      </c>
      <c r="B7" s="115">
        <v>63989.57</v>
      </c>
      <c r="C7" s="116">
        <f t="shared" si="3"/>
        <v>65205.371829999996</v>
      </c>
      <c r="D7" s="116">
        <f t="shared" si="3"/>
        <v>66444.273894769984</v>
      </c>
      <c r="E7" s="116">
        <f t="shared" si="3"/>
        <v>67706.715098770612</v>
      </c>
      <c r="F7" s="116">
        <f t="shared" si="3"/>
        <v>68993.142685647254</v>
      </c>
      <c r="H7">
        <v>2</v>
      </c>
      <c r="I7">
        <v>99639.33</v>
      </c>
      <c r="J7" s="81">
        <v>1</v>
      </c>
      <c r="K7" s="80">
        <f t="shared" ref="K7:K9" si="5">+I7*J7</f>
        <v>99639.33</v>
      </c>
      <c r="L7" s="80">
        <f t="shared" si="4"/>
        <v>101532.47726999999</v>
      </c>
      <c r="M7" s="80">
        <f t="shared" si="4"/>
        <v>103461.59433812997</v>
      </c>
      <c r="N7" s="80">
        <f t="shared" si="4"/>
        <v>105427.36463055444</v>
      </c>
      <c r="O7" s="80">
        <f t="shared" si="4"/>
        <v>107430.48455853497</v>
      </c>
      <c r="P7" s="119">
        <f>+$P$5*J7</f>
        <v>1760</v>
      </c>
    </row>
    <row r="8" spans="1:16">
      <c r="A8" s="18">
        <v>3</v>
      </c>
      <c r="B8" s="115">
        <v>45375.77</v>
      </c>
      <c r="C8" s="116">
        <f t="shared" si="3"/>
        <v>46237.909629999995</v>
      </c>
      <c r="D8" s="116">
        <f t="shared" si="3"/>
        <v>47116.429912969987</v>
      </c>
      <c r="E8" s="116">
        <f t="shared" si="3"/>
        <v>48011.642081316415</v>
      </c>
      <c r="F8" s="116">
        <f t="shared" si="3"/>
        <v>48923.86328086142</v>
      </c>
      <c r="H8">
        <v>3</v>
      </c>
      <c r="I8">
        <f>46286.01+15836+5526+2917.15</f>
        <v>70565.16</v>
      </c>
      <c r="J8" s="81">
        <v>1</v>
      </c>
      <c r="K8" s="80">
        <f t="shared" si="5"/>
        <v>70565.16</v>
      </c>
      <c r="L8" s="80">
        <f t="shared" si="4"/>
        <v>71905.89804</v>
      </c>
      <c r="M8" s="80">
        <f t="shared" si="4"/>
        <v>73272.110102759994</v>
      </c>
      <c r="N8" s="80">
        <f t="shared" si="4"/>
        <v>74664.280194712424</v>
      </c>
      <c r="O8" s="80">
        <f t="shared" si="4"/>
        <v>76082.901518411949</v>
      </c>
      <c r="P8" s="119">
        <f>+$P$5*J8</f>
        <v>1760</v>
      </c>
    </row>
    <row r="9" spans="1:16">
      <c r="A9" s="18">
        <v>4</v>
      </c>
      <c r="B9" s="115">
        <v>49576.74</v>
      </c>
      <c r="C9" s="116">
        <f t="shared" si="3"/>
        <v>50518.698059999995</v>
      </c>
      <c r="D9" s="116">
        <f t="shared" si="3"/>
        <v>51478.55332313999</v>
      </c>
      <c r="E9" s="116">
        <f t="shared" si="3"/>
        <v>52456.645836279647</v>
      </c>
      <c r="F9" s="116">
        <f t="shared" si="3"/>
        <v>53453.322107168955</v>
      </c>
      <c r="H9">
        <v>4</v>
      </c>
      <c r="I9">
        <f>45804.19+10749+3740+2917.15</f>
        <v>63210.340000000004</v>
      </c>
      <c r="J9" s="81">
        <v>1</v>
      </c>
      <c r="K9" s="80">
        <f t="shared" si="5"/>
        <v>63210.340000000004</v>
      </c>
      <c r="L9" s="80">
        <f t="shared" si="4"/>
        <v>64411.336459999999</v>
      </c>
      <c r="M9" s="80">
        <f t="shared" si="4"/>
        <v>65635.151852739989</v>
      </c>
      <c r="N9" s="80">
        <f t="shared" si="4"/>
        <v>66882.21973794204</v>
      </c>
      <c r="O9" s="80">
        <f t="shared" si="4"/>
        <v>68152.981912962932</v>
      </c>
      <c r="P9" s="119">
        <f>+$P$5*J9</f>
        <v>1760</v>
      </c>
    </row>
    <row r="10" spans="1:16">
      <c r="A10" s="18">
        <v>5</v>
      </c>
      <c r="B10" s="115">
        <v>53064.29</v>
      </c>
      <c r="C10" s="116">
        <f t="shared" si="3"/>
        <v>54072.511509999997</v>
      </c>
      <c r="D10" s="116">
        <f t="shared" si="3"/>
        <v>55099.889228689994</v>
      </c>
      <c r="E10" s="116">
        <f t="shared" si="3"/>
        <v>56146.787124035101</v>
      </c>
      <c r="F10" s="116">
        <f t="shared" si="3"/>
        <v>57213.576079391765</v>
      </c>
      <c r="K10" s="80">
        <f>SUM(K5:K9)</f>
        <v>308166.96399999998</v>
      </c>
      <c r="L10" s="80">
        <f t="shared" si="4"/>
        <v>314022.13631599996</v>
      </c>
      <c r="M10" s="80">
        <f t="shared" si="4"/>
        <v>319988.55690600391</v>
      </c>
      <c r="N10" s="80">
        <f t="shared" si="4"/>
        <v>326068.33948721795</v>
      </c>
      <c r="O10" s="80">
        <f t="shared" si="4"/>
        <v>332263.63793747505</v>
      </c>
      <c r="P10" s="119">
        <f>SUM(P6:P9)</f>
        <v>6512</v>
      </c>
    </row>
    <row r="11" spans="1:16">
      <c r="A11" s="18">
        <v>6</v>
      </c>
      <c r="B11" s="115">
        <v>53321.02</v>
      </c>
      <c r="C11" s="116">
        <f t="shared" si="3"/>
        <v>54334.119379999989</v>
      </c>
      <c r="D11" s="116">
        <f t="shared" si="3"/>
        <v>55366.467648219987</v>
      </c>
      <c r="E11" s="116">
        <f t="shared" si="3"/>
        <v>56418.430533536164</v>
      </c>
      <c r="F11" s="116">
        <f t="shared" si="3"/>
        <v>57490.380713673345</v>
      </c>
    </row>
    <row r="12" spans="1:16">
      <c r="A12" s="18">
        <v>7</v>
      </c>
      <c r="B12" s="115">
        <v>44467.519999999997</v>
      </c>
      <c r="C12" s="116">
        <f t="shared" si="3"/>
        <v>45312.402879999994</v>
      </c>
      <c r="D12" s="116">
        <f t="shared" si="3"/>
        <v>46173.338534719987</v>
      </c>
      <c r="E12" s="116">
        <f t="shared" si="3"/>
        <v>47050.631966879664</v>
      </c>
      <c r="F12" s="116">
        <f t="shared" si="3"/>
        <v>47944.593974250376</v>
      </c>
      <c r="I12" s="133"/>
      <c r="J12" s="133"/>
      <c r="K12" s="133" t="s">
        <v>409</v>
      </c>
      <c r="L12" s="133" t="s">
        <v>410</v>
      </c>
      <c r="M12" s="133" t="s">
        <v>410</v>
      </c>
      <c r="N12" s="134"/>
    </row>
    <row r="13" spans="1:16">
      <c r="A13" s="18">
        <v>8</v>
      </c>
      <c r="B13" s="115">
        <v>40188.269999999997</v>
      </c>
      <c r="C13" s="116">
        <f t="shared" si="3"/>
        <v>40951.847129999995</v>
      </c>
      <c r="D13" s="116">
        <f t="shared" si="3"/>
        <v>41729.932225469987</v>
      </c>
      <c r="E13" s="116">
        <f t="shared" si="3"/>
        <v>42522.800937753913</v>
      </c>
      <c r="F13" s="116">
        <f t="shared" si="3"/>
        <v>43330.734155571234</v>
      </c>
      <c r="I13" s="13" t="s">
        <v>453</v>
      </c>
      <c r="J13" s="13" t="s">
        <v>455</v>
      </c>
      <c r="K13" s="13">
        <v>2016</v>
      </c>
      <c r="L13" s="13">
        <f>+K13+1</f>
        <v>2017</v>
      </c>
      <c r="M13" s="13">
        <f>+L13+1</f>
        <v>2018</v>
      </c>
      <c r="N13" s="7" t="s">
        <v>458</v>
      </c>
    </row>
    <row r="14" spans="1:16">
      <c r="A14" s="18">
        <v>9</v>
      </c>
      <c r="B14" s="115">
        <v>52608.35</v>
      </c>
      <c r="C14" s="116">
        <f t="shared" si="3"/>
        <v>53607.90864999999</v>
      </c>
      <c r="D14" s="116">
        <f t="shared" si="3"/>
        <v>54626.458914349983</v>
      </c>
      <c r="E14" s="116">
        <f t="shared" si="3"/>
        <v>55664.361633722627</v>
      </c>
      <c r="F14" s="116">
        <f t="shared" si="3"/>
        <v>56721.98450476335</v>
      </c>
      <c r="H14">
        <v>1</v>
      </c>
      <c r="I14" s="116">
        <f>71843.59+22066+5840+3549.39</f>
        <v>103298.98</v>
      </c>
      <c r="J14" s="81">
        <v>0.8</v>
      </c>
      <c r="K14" s="80">
        <f>+I14*J14</f>
        <v>82639.184000000008</v>
      </c>
      <c r="L14" s="80">
        <f>+K14*(1+$C$3)^(L$5-K$5)</f>
        <v>84209.328496000002</v>
      </c>
      <c r="M14" s="80">
        <f>+L14*(1+$C$3)^(M$5-L$5)</f>
        <v>85809.305737423987</v>
      </c>
      <c r="N14">
        <f>+J14*P5</f>
        <v>1408</v>
      </c>
    </row>
    <row r="15" spans="1:16">
      <c r="A15" s="18">
        <v>10</v>
      </c>
      <c r="B15" s="115">
        <v>47191.59</v>
      </c>
      <c r="C15" s="116">
        <f t="shared" si="3"/>
        <v>48088.230209999994</v>
      </c>
      <c r="D15" s="116">
        <f t="shared" si="3"/>
        <v>49001.906583989992</v>
      </c>
      <c r="E15" s="116">
        <f t="shared" si="3"/>
        <v>49932.942809085798</v>
      </c>
      <c r="F15" s="116">
        <f t="shared" si="3"/>
        <v>50881.668722458424</v>
      </c>
    </row>
    <row r="16" spans="1:16">
      <c r="A16" s="18">
        <v>11</v>
      </c>
      <c r="B16" s="115">
        <v>44075.8</v>
      </c>
      <c r="C16" s="116">
        <f t="shared" si="3"/>
        <v>44913.2402</v>
      </c>
      <c r="D16" s="116">
        <f t="shared" si="3"/>
        <v>45766.591763799996</v>
      </c>
      <c r="E16" s="116">
        <f t="shared" si="3"/>
        <v>46636.157007312191</v>
      </c>
      <c r="F16" s="116">
        <f t="shared" si="3"/>
        <v>47522.243990451119</v>
      </c>
    </row>
    <row r="17" spans="1:16">
      <c r="A17" s="18">
        <v>12</v>
      </c>
      <c r="B17" s="115">
        <v>51580.79</v>
      </c>
      <c r="C17" s="116">
        <f t="shared" si="3"/>
        <v>52560.825009999993</v>
      </c>
      <c r="D17" s="116">
        <f t="shared" si="3"/>
        <v>53559.480685189985</v>
      </c>
      <c r="E17" s="116">
        <f t="shared" si="3"/>
        <v>54577.110818208588</v>
      </c>
      <c r="F17" s="116">
        <f t="shared" si="3"/>
        <v>55614.075923754543</v>
      </c>
      <c r="I17" s="133"/>
      <c r="J17" s="133"/>
      <c r="K17" s="133" t="s">
        <v>409</v>
      </c>
      <c r="L17" s="133" t="s">
        <v>410</v>
      </c>
      <c r="M17" s="133" t="s">
        <v>410</v>
      </c>
      <c r="N17" s="133" t="s">
        <v>410</v>
      </c>
      <c r="O17" s="133" t="s">
        <v>410</v>
      </c>
      <c r="P17" s="7"/>
    </row>
    <row r="18" spans="1:16">
      <c r="A18" s="18">
        <v>13</v>
      </c>
      <c r="B18" s="115">
        <v>49013.98</v>
      </c>
      <c r="C18" s="116">
        <f t="shared" si="3"/>
        <v>49945.245620000002</v>
      </c>
      <c r="D18" s="116">
        <f t="shared" si="3"/>
        <v>50894.205286779994</v>
      </c>
      <c r="E18" s="116">
        <f t="shared" si="3"/>
        <v>51861.195187228812</v>
      </c>
      <c r="F18" s="116">
        <f t="shared" si="3"/>
        <v>52846.557895786151</v>
      </c>
      <c r="I18" s="7" t="s">
        <v>14</v>
      </c>
      <c r="J18" s="7" t="s">
        <v>455</v>
      </c>
      <c r="K18">
        <v>2014</v>
      </c>
      <c r="L18">
        <f>+K18+1</f>
        <v>2015</v>
      </c>
      <c r="M18">
        <f t="shared" ref="M18:O18" si="6">+L18+1</f>
        <v>2016</v>
      </c>
      <c r="N18">
        <f t="shared" si="6"/>
        <v>2017</v>
      </c>
      <c r="O18">
        <f t="shared" si="6"/>
        <v>2018</v>
      </c>
    </row>
    <row r="19" spans="1:16">
      <c r="A19" s="18">
        <v>14</v>
      </c>
      <c r="B19" s="115">
        <v>52292.57</v>
      </c>
      <c r="C19" s="116">
        <f t="shared" si="3"/>
        <v>53286.128829999994</v>
      </c>
      <c r="D19" s="116">
        <f t="shared" si="3"/>
        <v>54298.565277769987</v>
      </c>
      <c r="E19" s="116">
        <f t="shared" si="3"/>
        <v>55330.23801804761</v>
      </c>
      <c r="F19" s="116">
        <f t="shared" si="3"/>
        <v>56381.512540390511</v>
      </c>
      <c r="H19">
        <v>1</v>
      </c>
      <c r="I19" s="116">
        <v>88723.61</v>
      </c>
      <c r="J19" s="81">
        <v>0.1</v>
      </c>
      <c r="K19" s="116">
        <f>+I19*J19</f>
        <v>8872.3610000000008</v>
      </c>
      <c r="L19" s="116">
        <f t="shared" ref="L19:O21" si="7">+K19*(1+$C$3)^(L$5-K$5)</f>
        <v>9040.9358589999993</v>
      </c>
      <c r="M19" s="116">
        <f t="shared" si="7"/>
        <v>9212.7136403209988</v>
      </c>
      <c r="N19" s="116">
        <f t="shared" si="7"/>
        <v>9387.7551994870973</v>
      </c>
      <c r="O19" s="116">
        <f t="shared" si="7"/>
        <v>9566.1225482773516</v>
      </c>
      <c r="P19" s="116"/>
    </row>
    <row r="20" spans="1:16">
      <c r="A20" s="18">
        <v>15</v>
      </c>
      <c r="B20" s="115">
        <v>67404.12</v>
      </c>
      <c r="C20" s="116">
        <f t="shared" si="3"/>
        <v>68684.798279999988</v>
      </c>
      <c r="D20" s="116">
        <f t="shared" si="3"/>
        <v>69989.809447319974</v>
      </c>
      <c r="E20" s="116">
        <f t="shared" si="3"/>
        <v>71319.615826819048</v>
      </c>
      <c r="F20" s="116">
        <f t="shared" si="3"/>
        <v>72674.688527528604</v>
      </c>
      <c r="H20">
        <v>2</v>
      </c>
      <c r="I20" s="116">
        <v>100386.93</v>
      </c>
      <c r="J20" s="81">
        <v>7.0000000000000007E-2</v>
      </c>
      <c r="K20" s="116">
        <f t="shared" ref="K20:K21" si="8">+I20*J20</f>
        <v>7027.0851000000002</v>
      </c>
      <c r="L20" s="116">
        <f t="shared" si="7"/>
        <v>7160.5997168999993</v>
      </c>
      <c r="M20" s="116">
        <f t="shared" si="7"/>
        <v>7296.6511115210988</v>
      </c>
      <c r="N20" s="116">
        <f t="shared" si="7"/>
        <v>7435.2874826399993</v>
      </c>
      <c r="O20" s="116">
        <f t="shared" si="7"/>
        <v>7576.5579448101589</v>
      </c>
      <c r="P20" s="116"/>
    </row>
    <row r="21" spans="1:16">
      <c r="A21" s="18">
        <v>16</v>
      </c>
      <c r="B21" s="115">
        <v>52324.17</v>
      </c>
      <c r="C21" s="116">
        <f t="shared" si="3"/>
        <v>53318.329229999996</v>
      </c>
      <c r="D21" s="116">
        <f t="shared" si="3"/>
        <v>54331.377485369994</v>
      </c>
      <c r="E21" s="116">
        <f t="shared" si="3"/>
        <v>55363.673657592022</v>
      </c>
      <c r="F21" s="116">
        <f t="shared" si="3"/>
        <v>56415.583457086264</v>
      </c>
      <c r="H21">
        <v>3</v>
      </c>
      <c r="I21" s="116">
        <v>65687.62</v>
      </c>
      <c r="J21" s="81">
        <v>0.85</v>
      </c>
      <c r="K21" s="116">
        <f t="shared" si="8"/>
        <v>55834.476999999992</v>
      </c>
      <c r="L21" s="116">
        <f t="shared" si="7"/>
        <v>56895.332062999987</v>
      </c>
      <c r="M21" s="116">
        <f t="shared" si="7"/>
        <v>57976.343372196985</v>
      </c>
      <c r="N21" s="116">
        <f t="shared" si="7"/>
        <v>59077.893896268724</v>
      </c>
      <c r="O21" s="116">
        <f t="shared" si="7"/>
        <v>60200.373880297826</v>
      </c>
      <c r="P21" s="116"/>
    </row>
    <row r="22" spans="1:16">
      <c r="A22" s="18">
        <v>17</v>
      </c>
      <c r="B22" s="115">
        <v>44540.02</v>
      </c>
      <c r="C22" s="116">
        <f t="shared" si="3"/>
        <v>45386.280379999989</v>
      </c>
      <c r="D22" s="116">
        <f t="shared" si="3"/>
        <v>46248.619707219987</v>
      </c>
      <c r="E22" s="116">
        <f t="shared" si="3"/>
        <v>47127.343481657161</v>
      </c>
      <c r="F22" s="116">
        <f t="shared" si="3"/>
        <v>48022.763007808644</v>
      </c>
      <c r="K22" s="121">
        <f>SUM(K19:K21)</f>
        <v>71733.923099999985</v>
      </c>
      <c r="L22" s="121">
        <f t="shared" ref="L22:O22" si="9">SUM(L19:L21)</f>
        <v>73096.867638899988</v>
      </c>
      <c r="M22" s="121">
        <f t="shared" si="9"/>
        <v>74485.708124039083</v>
      </c>
      <c r="N22" s="121">
        <f t="shared" si="9"/>
        <v>75900.93657839582</v>
      </c>
      <c r="O22" s="121">
        <f t="shared" si="9"/>
        <v>77343.054373385341</v>
      </c>
    </row>
    <row r="23" spans="1:16">
      <c r="A23" s="18">
        <v>18</v>
      </c>
      <c r="B23" s="115">
        <v>77906.720000000001</v>
      </c>
      <c r="C23" s="116">
        <f t="shared" si="3"/>
        <v>79386.947679999997</v>
      </c>
      <c r="D23" s="116">
        <f t="shared" si="3"/>
        <v>80895.299685919992</v>
      </c>
      <c r="E23" s="116">
        <f t="shared" si="3"/>
        <v>82432.310379952469</v>
      </c>
      <c r="F23" s="116">
        <f t="shared" si="3"/>
        <v>83998.524277171557</v>
      </c>
    </row>
    <row r="24" spans="1:16">
      <c r="A24" s="18">
        <v>19</v>
      </c>
      <c r="B24" s="115">
        <v>49860.06</v>
      </c>
      <c r="C24" s="116">
        <f t="shared" si="3"/>
        <v>50807.401139999994</v>
      </c>
      <c r="D24" s="116">
        <f t="shared" si="3"/>
        <v>51772.741761659992</v>
      </c>
      <c r="E24" s="116">
        <f t="shared" si="3"/>
        <v>52756.423855131528</v>
      </c>
      <c r="F24" s="116">
        <f t="shared" si="3"/>
        <v>53758.795908379019</v>
      </c>
      <c r="H24" s="13" t="s">
        <v>457</v>
      </c>
      <c r="K24" s="13" t="s">
        <v>459</v>
      </c>
    </row>
    <row r="25" spans="1:16">
      <c r="A25" s="18">
        <v>20</v>
      </c>
      <c r="B25" s="115">
        <v>73622.89</v>
      </c>
      <c r="C25" s="116">
        <f t="shared" si="3"/>
        <v>75021.72490999999</v>
      </c>
      <c r="D25" s="116">
        <f t="shared" si="3"/>
        <v>76447.137683289984</v>
      </c>
      <c r="E25" s="116">
        <f t="shared" si="3"/>
        <v>77899.633299272493</v>
      </c>
      <c r="F25" s="116">
        <f t="shared" si="3"/>
        <v>79379.726331958664</v>
      </c>
      <c r="H25" s="13">
        <f>+KT!D1</f>
        <v>2016</v>
      </c>
      <c r="K25" s="13">
        <f>+KT!D1</f>
        <v>2016</v>
      </c>
    </row>
    <row r="26" spans="1:16" s="13" customFormat="1">
      <c r="A26" s="13" t="s">
        <v>411</v>
      </c>
      <c r="B26" s="117">
        <f>SUM(B6:B25)</f>
        <v>1063188.22</v>
      </c>
      <c r="C26" s="117">
        <f t="shared" ref="C26:F26" si="10">SUM(C6:C25)</f>
        <v>1083388.7961800001</v>
      </c>
      <c r="D26" s="117">
        <f t="shared" si="10"/>
        <v>1103973.1833074198</v>
      </c>
      <c r="E26" s="117">
        <f t="shared" si="10"/>
        <v>1124948.6737902607</v>
      </c>
      <c r="F26" s="117">
        <f t="shared" si="10"/>
        <v>1146322.6985922754</v>
      </c>
      <c r="G26"/>
      <c r="H26" s="116">
        <f>+HLOOKUP(H$25,$K$5:$O$10,6,FALSE)</f>
        <v>319988.55690600391</v>
      </c>
      <c r="I26"/>
      <c r="J26" s="7" t="s">
        <v>418</v>
      </c>
      <c r="K26" s="116">
        <f>+HLOOKUP(K$25,$K$13:$M$14,2,FALSE)</f>
        <v>82639.184000000008</v>
      </c>
    </row>
    <row r="27" spans="1:16">
      <c r="A27" s="18">
        <v>21</v>
      </c>
      <c r="B27" s="115">
        <v>68841.429999999993</v>
      </c>
      <c r="C27" s="116">
        <f t="shared" ref="C27:F32" si="11">+B27*(1+$C$3)^(C$5-B$5)</f>
        <v>70149.417169999986</v>
      </c>
      <c r="D27" s="116">
        <f t="shared" si="11"/>
        <v>71482.256096229976</v>
      </c>
      <c r="E27" s="116">
        <f t="shared" si="11"/>
        <v>72840.418962058335</v>
      </c>
      <c r="F27" s="116">
        <f t="shared" si="11"/>
        <v>74224.386922337435</v>
      </c>
      <c r="H27" s="12">
        <f>+H26/F41*$C$41*F41</f>
        <v>31998.855690600394</v>
      </c>
      <c r="J27" s="80">
        <v>1</v>
      </c>
      <c r="K27" s="12">
        <f>+K26/J27*$C$41*J27</f>
        <v>8263.9184000000005</v>
      </c>
    </row>
    <row r="28" spans="1:16">
      <c r="A28" s="18">
        <v>22</v>
      </c>
      <c r="B28" s="115">
        <v>67731.070000000007</v>
      </c>
      <c r="C28" s="116">
        <f t="shared" si="11"/>
        <v>69017.960330000002</v>
      </c>
      <c r="D28" s="116">
        <f t="shared" si="11"/>
        <v>70329.301576269994</v>
      </c>
      <c r="E28" s="116">
        <f t="shared" si="11"/>
        <v>71665.558306219114</v>
      </c>
      <c r="F28" s="116">
        <f t="shared" si="11"/>
        <v>73027.203914037265</v>
      </c>
      <c r="H28" s="12">
        <f>+$C$42*F41</f>
        <v>13800</v>
      </c>
      <c r="K28" s="12">
        <f>+$C$42*J27</f>
        <v>3450</v>
      </c>
    </row>
    <row r="29" spans="1:16">
      <c r="A29" s="18">
        <v>23</v>
      </c>
      <c r="B29" s="115">
        <v>72589.39</v>
      </c>
      <c r="C29" s="116">
        <f t="shared" si="11"/>
        <v>73968.588409999997</v>
      </c>
      <c r="D29" s="116">
        <f t="shared" si="11"/>
        <v>75373.991589789992</v>
      </c>
      <c r="E29" s="116">
        <f t="shared" si="11"/>
        <v>76806.097429995993</v>
      </c>
      <c r="F29" s="116">
        <f t="shared" si="11"/>
        <v>78265.413281165907</v>
      </c>
      <c r="H29" s="124">
        <f>SUM(H26:H28)</f>
        <v>365787.41259660432</v>
      </c>
      <c r="K29" s="124">
        <f>SUM(K26:K28)</f>
        <v>94353.102400000003</v>
      </c>
    </row>
    <row r="30" spans="1:16">
      <c r="A30" s="18">
        <v>24</v>
      </c>
      <c r="B30" s="115">
        <v>77574.38</v>
      </c>
      <c r="C30" s="116">
        <f t="shared" si="11"/>
        <v>79048.293219999992</v>
      </c>
      <c r="D30" s="116">
        <f t="shared" si="11"/>
        <v>80550.210791179983</v>
      </c>
      <c r="E30" s="116">
        <f t="shared" si="11"/>
        <v>82080.664796212397</v>
      </c>
      <c r="F30" s="116">
        <f t="shared" si="11"/>
        <v>83640.197427340419</v>
      </c>
      <c r="H30" s="121">
        <f>+$C$44*H$26</f>
        <v>47998.283535900584</v>
      </c>
      <c r="K30" s="121">
        <f>+$C$44*K$26</f>
        <v>12395.877600000002</v>
      </c>
    </row>
    <row r="31" spans="1:16">
      <c r="A31" s="18">
        <v>25</v>
      </c>
      <c r="B31" s="115">
        <v>67873.649999999994</v>
      </c>
      <c r="C31" s="116">
        <f t="shared" si="11"/>
        <v>69163.249349999984</v>
      </c>
      <c r="D31" s="116">
        <f t="shared" si="11"/>
        <v>70477.351087649979</v>
      </c>
      <c r="E31" s="116">
        <f t="shared" si="11"/>
        <v>71816.420758315318</v>
      </c>
      <c r="F31" s="116">
        <f t="shared" si="11"/>
        <v>73180.932752723296</v>
      </c>
      <c r="H31" s="121">
        <f>+H30+H29</f>
        <v>413785.69613250491</v>
      </c>
      <c r="K31" s="121">
        <f>+K30+K29</f>
        <v>106748.98000000001</v>
      </c>
    </row>
    <row r="32" spans="1:16">
      <c r="A32" s="18">
        <v>26</v>
      </c>
      <c r="B32" s="115">
        <v>92634.66</v>
      </c>
      <c r="C32" s="116">
        <f t="shared" si="11"/>
        <v>94394.718540000002</v>
      </c>
      <c r="D32" s="116">
        <f t="shared" si="11"/>
        <v>96188.218192259999</v>
      </c>
      <c r="E32" s="116">
        <f t="shared" si="11"/>
        <v>98015.794337912928</v>
      </c>
      <c r="F32" s="116">
        <f t="shared" si="11"/>
        <v>99878.094430333265</v>
      </c>
    </row>
    <row r="33" spans="1:11" s="13" customFormat="1">
      <c r="A33" s="13" t="s">
        <v>412</v>
      </c>
      <c r="B33" s="118">
        <f>SUM(B27:B32)</f>
        <v>447244.58000000007</v>
      </c>
      <c r="C33" s="118">
        <f t="shared" ref="C33:F33" si="12">SUM(C27:C32)</f>
        <v>455742.22701999999</v>
      </c>
      <c r="D33" s="118">
        <f t="shared" si="12"/>
        <v>464401.32933337992</v>
      </c>
      <c r="E33" s="118">
        <f t="shared" si="12"/>
        <v>473224.95459071407</v>
      </c>
      <c r="F33" s="118">
        <f t="shared" si="12"/>
        <v>482216.22872793756</v>
      </c>
      <c r="G33">
        <v>1760</v>
      </c>
      <c r="H33"/>
      <c r="I33"/>
      <c r="J33">
        <f>+N14</f>
        <v>1408</v>
      </c>
      <c r="K33"/>
    </row>
    <row r="34" spans="1:11" s="13" customFormat="1">
      <c r="A34" s="13" t="s">
        <v>234</v>
      </c>
      <c r="B34" s="117">
        <f>+B33+B26</f>
        <v>1510432.8</v>
      </c>
      <c r="C34" s="117">
        <f t="shared" ref="C34:F34" si="13">+C33+C26</f>
        <v>1539131.0232000002</v>
      </c>
      <c r="D34" s="117">
        <f t="shared" si="13"/>
        <v>1568374.5126407996</v>
      </c>
      <c r="E34" s="117">
        <f t="shared" si="13"/>
        <v>1598173.6283809748</v>
      </c>
      <c r="F34" s="117">
        <f t="shared" si="13"/>
        <v>1628538.9273202131</v>
      </c>
      <c r="G34" s="123">
        <f>+P10</f>
        <v>6512</v>
      </c>
      <c r="H34"/>
      <c r="I34"/>
      <c r="J34" s="123"/>
      <c r="K34"/>
    </row>
    <row r="35" spans="1:11" ht="13.5" thickBot="1">
      <c r="H35" s="127">
        <f>+H31/G34</f>
        <v>63.54202950437729</v>
      </c>
      <c r="K35" s="127">
        <f>+K31/J33</f>
        <v>75.816036931818189</v>
      </c>
    </row>
    <row r="36" spans="1:11" ht="13.5" thickTop="1"/>
    <row r="37" spans="1:11">
      <c r="A37" s="126" t="s">
        <v>513</v>
      </c>
      <c r="G37" s="224" t="s">
        <v>513</v>
      </c>
      <c r="H37" s="224"/>
    </row>
    <row r="38" spans="1:11">
      <c r="A38" s="13" t="s">
        <v>456</v>
      </c>
    </row>
    <row r="39" spans="1:11">
      <c r="A39" s="13" t="s">
        <v>415</v>
      </c>
      <c r="D39" s="13">
        <f>+KT!D1</f>
        <v>2016</v>
      </c>
    </row>
    <row r="40" spans="1:11">
      <c r="A40" s="109" t="s">
        <v>416</v>
      </c>
      <c r="B40" s="13" t="s">
        <v>418</v>
      </c>
      <c r="C40" s="13" t="s">
        <v>419</v>
      </c>
      <c r="D40" s="116">
        <f>+HLOOKUP($D$39,$B$5:$F$34,30,FALSE)</f>
        <v>1568374.5126407996</v>
      </c>
      <c r="E40" s="126" t="s">
        <v>432</v>
      </c>
      <c r="F40" s="7" t="s">
        <v>418</v>
      </c>
    </row>
    <row r="41" spans="1:11">
      <c r="A41" s="120" t="s">
        <v>417</v>
      </c>
      <c r="B41">
        <v>26</v>
      </c>
      <c r="C41" s="81">
        <v>0.1</v>
      </c>
      <c r="D41" s="116">
        <f>+D40/A32*B41*C41</f>
        <v>156837.45126407998</v>
      </c>
      <c r="E41" s="126" t="s">
        <v>433</v>
      </c>
      <c r="F41" s="80">
        <v>4</v>
      </c>
    </row>
    <row r="42" spans="1:11">
      <c r="A42" s="120" t="s">
        <v>420</v>
      </c>
      <c r="B42">
        <v>5</v>
      </c>
      <c r="C42" s="116">
        <v>3450</v>
      </c>
      <c r="D42" s="116">
        <f>+C42*B42</f>
        <v>17250</v>
      </c>
      <c r="E42" s="126" t="s">
        <v>434</v>
      </c>
    </row>
    <row r="43" spans="1:11">
      <c r="A43" s="13" t="s">
        <v>422</v>
      </c>
      <c r="B43" s="13"/>
      <c r="C43" s="13"/>
      <c r="D43" s="124">
        <f>SUM(D40:D42)</f>
        <v>1742461.9639048795</v>
      </c>
      <c r="E43" s="126"/>
    </row>
    <row r="44" spans="1:11">
      <c r="A44" s="13" t="s">
        <v>421</v>
      </c>
      <c r="C44" s="81">
        <v>0.15</v>
      </c>
      <c r="D44" s="116">
        <f>+D40*C44</f>
        <v>235256.17689611993</v>
      </c>
      <c r="E44" s="126" t="s">
        <v>436</v>
      </c>
    </row>
    <row r="45" spans="1:11">
      <c r="A45" s="13" t="s">
        <v>234</v>
      </c>
      <c r="B45" s="13"/>
      <c r="C45" s="13"/>
      <c r="D45" s="124">
        <f>+D43+D44</f>
        <v>1977718.1408009995</v>
      </c>
    </row>
    <row r="46" spans="1:11">
      <c r="A46" s="13"/>
      <c r="D46" s="116"/>
    </row>
    <row r="47" spans="1:11">
      <c r="A47" s="13" t="s">
        <v>413</v>
      </c>
      <c r="B47" s="119">
        <f>73*24</f>
        <v>1752</v>
      </c>
      <c r="C47" s="126" t="s">
        <v>437</v>
      </c>
      <c r="D47" s="116"/>
    </row>
    <row r="48" spans="1:11">
      <c r="A48" s="13" t="s">
        <v>414</v>
      </c>
      <c r="B48" s="119">
        <f>+B47*COUNT(B27:B32,B6:B25)</f>
        <v>45552</v>
      </c>
      <c r="D48" s="116"/>
    </row>
    <row r="49" spans="1:6" ht="13.5" thickBot="1">
      <c r="A49" s="13" t="s">
        <v>423</v>
      </c>
      <c r="D49" s="127">
        <f>+D45/B48</f>
        <v>43.416713663527389</v>
      </c>
    </row>
    <row r="50" spans="1:6" ht="13.5" thickTop="1"/>
    <row r="51" spans="1:6">
      <c r="A51" s="125"/>
    </row>
    <row r="52" spans="1:6">
      <c r="A52" s="223" t="s">
        <v>431</v>
      </c>
      <c r="B52" s="223"/>
      <c r="C52" s="223"/>
      <c r="D52" s="223"/>
      <c r="E52" s="223"/>
      <c r="F52" s="223"/>
    </row>
    <row r="53" spans="1:6">
      <c r="A53" s="223" t="s">
        <v>424</v>
      </c>
      <c r="B53" s="223"/>
      <c r="C53" s="223"/>
      <c r="D53" s="223"/>
      <c r="E53" s="223"/>
      <c r="F53" s="223"/>
    </row>
    <row r="54" spans="1:6">
      <c r="A54" s="223" t="s">
        <v>425</v>
      </c>
      <c r="B54" s="223"/>
      <c r="C54" s="223"/>
      <c r="D54" s="223"/>
      <c r="E54" s="223"/>
      <c r="F54" s="223"/>
    </row>
    <row r="55" spans="1:6">
      <c r="A55" s="223" t="s">
        <v>426</v>
      </c>
      <c r="B55" s="223"/>
      <c r="C55" s="223"/>
      <c r="D55" s="223"/>
      <c r="E55" s="223"/>
      <c r="F55" s="223"/>
    </row>
    <row r="56" spans="1:6">
      <c r="A56" s="223" t="s">
        <v>427</v>
      </c>
      <c r="B56" s="223"/>
      <c r="C56" s="223"/>
      <c r="D56" s="223"/>
      <c r="E56" s="223"/>
      <c r="F56" s="223"/>
    </row>
    <row r="57" spans="1:6">
      <c r="A57" s="223" t="s">
        <v>428</v>
      </c>
      <c r="B57" s="223"/>
      <c r="C57" s="223"/>
      <c r="D57" s="223"/>
      <c r="E57" s="223"/>
      <c r="F57" s="223"/>
    </row>
    <row r="58" spans="1:6">
      <c r="A58" s="223" t="s">
        <v>435</v>
      </c>
      <c r="B58" s="223"/>
      <c r="C58" s="223"/>
      <c r="D58" s="223"/>
      <c r="E58" s="223"/>
      <c r="F58" s="223"/>
    </row>
    <row r="59" spans="1:6">
      <c r="A59" s="223" t="s">
        <v>429</v>
      </c>
      <c r="B59" s="223"/>
      <c r="C59" s="223"/>
      <c r="D59" s="223"/>
      <c r="E59" s="223"/>
      <c r="F59" s="223"/>
    </row>
    <row r="60" spans="1:6">
      <c r="A60" s="223" t="s">
        <v>426</v>
      </c>
      <c r="B60" s="223"/>
      <c r="C60" s="223"/>
      <c r="D60" s="223"/>
      <c r="E60" s="223"/>
      <c r="F60" s="223"/>
    </row>
    <row r="61" spans="1:6">
      <c r="A61" s="223" t="s">
        <v>430</v>
      </c>
      <c r="B61" s="223"/>
      <c r="C61" s="223"/>
      <c r="D61" s="223"/>
      <c r="E61" s="223"/>
      <c r="F61" s="223"/>
    </row>
    <row r="74" spans="1:8">
      <c r="A74" s="126" t="s">
        <v>513</v>
      </c>
      <c r="G74" s="224"/>
      <c r="H74" s="224"/>
    </row>
  </sheetData>
  <mergeCells count="12">
    <mergeCell ref="A56:F56"/>
    <mergeCell ref="A57:F57"/>
    <mergeCell ref="G37:H37"/>
    <mergeCell ref="A52:F52"/>
    <mergeCell ref="A53:F53"/>
    <mergeCell ref="A54:F54"/>
    <mergeCell ref="A55:F55"/>
    <mergeCell ref="A58:F58"/>
    <mergeCell ref="A59:F59"/>
    <mergeCell ref="A60:F60"/>
    <mergeCell ref="A61:F61"/>
    <mergeCell ref="G74:H74"/>
  </mergeCells>
  <hyperlinks>
    <hyperlink ref="A1" r:id="rId1"/>
  </hyperlinks>
  <pageMargins left="0.70866141732283472" right="0.70866141732283472" top="0.98425196850393704" bottom="0.78740157480314965" header="0.31496062992125984" footer="0.31496062992125984"/>
  <pageSetup paperSize="9" orientation="landscape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F40" sqref="F40"/>
    </sheetView>
  </sheetViews>
  <sheetFormatPr baseColWidth="10" defaultRowHeight="12.75"/>
  <cols>
    <col min="1" max="1" width="27.7109375" customWidth="1"/>
    <col min="2" max="2" width="19.7109375" customWidth="1"/>
    <col min="3" max="3" width="18.28515625" customWidth="1"/>
    <col min="4" max="4" width="11.28515625" customWidth="1"/>
    <col min="5" max="5" width="15.7109375" customWidth="1"/>
    <col min="6" max="6" width="19.7109375" customWidth="1"/>
    <col min="7" max="7" width="18.7109375" customWidth="1"/>
    <col min="8" max="8" width="11.42578125" bestFit="1" customWidth="1"/>
    <col min="9" max="9" width="9.140625" bestFit="1" customWidth="1"/>
  </cols>
  <sheetData>
    <row r="1" spans="1:7" s="213" customFormat="1">
      <c r="A1" s="213" t="s">
        <v>447</v>
      </c>
      <c r="B1" s="213" t="s">
        <v>448</v>
      </c>
      <c r="C1" s="31" t="s">
        <v>449</v>
      </c>
      <c r="D1" s="213" t="s">
        <v>488</v>
      </c>
      <c r="E1" s="31" t="s">
        <v>445</v>
      </c>
      <c r="F1" s="31" t="s">
        <v>450</v>
      </c>
      <c r="G1" s="213" t="s">
        <v>489</v>
      </c>
    </row>
    <row r="2" spans="1:7">
      <c r="A2" t="str">
        <f>+KT!A4</f>
        <v>Einsatzleitwagen1</v>
      </c>
      <c r="B2" s="140">
        <f>D2*G2/100*$A$27</f>
        <v>0</v>
      </c>
      <c r="C2" s="121">
        <f>(D2-E2)*G2*$B$26/100</f>
        <v>969.85652171151571</v>
      </c>
      <c r="D2" s="141">
        <f>F19</f>
        <v>5983</v>
      </c>
      <c r="E2">
        <f>+KT!H4*5*2</f>
        <v>1230</v>
      </c>
      <c r="F2" s="121">
        <f>+E2/100*G2*$B$26</f>
        <v>250.983278288484</v>
      </c>
      <c r="G2" s="142">
        <f>F23</f>
        <v>17.292495403643652</v>
      </c>
    </row>
    <row r="3" spans="1:7">
      <c r="A3" t="str">
        <f>+KT!A5</f>
        <v>Gerätewagen Gefahrgut</v>
      </c>
      <c r="B3" s="140"/>
      <c r="C3" s="121"/>
      <c r="E3">
        <f>+KT!H5*5*2</f>
        <v>70</v>
      </c>
      <c r="F3" s="121"/>
      <c r="G3" s="142"/>
    </row>
    <row r="4" spans="1:7">
      <c r="A4" t="str">
        <f>+KT!A6</f>
        <v>Gerätewagen Logistik</v>
      </c>
      <c r="B4" s="140"/>
      <c r="C4" s="121"/>
      <c r="E4">
        <f>+KT!H6*5*2</f>
        <v>720</v>
      </c>
      <c r="F4" s="121"/>
      <c r="G4" s="142"/>
    </row>
    <row r="5" spans="1:7">
      <c r="A5" t="str">
        <f>+KT!A7</f>
        <v>Hilfeleistungslöschfahrzeug</v>
      </c>
      <c r="B5" s="140"/>
      <c r="C5" s="121"/>
      <c r="E5">
        <f>+KT!H7*5*2</f>
        <v>2390</v>
      </c>
      <c r="F5" s="121"/>
      <c r="G5" s="142"/>
    </row>
    <row r="6" spans="1:7">
      <c r="A6" t="str">
        <f>+KT!A8</f>
        <v>Kleineinsatzfahrzeug</v>
      </c>
      <c r="B6" s="140"/>
      <c r="C6" s="121"/>
      <c r="E6">
        <f>+KT!H8*5*2</f>
        <v>180</v>
      </c>
      <c r="F6" s="121"/>
      <c r="G6" s="142"/>
    </row>
    <row r="7" spans="1:7">
      <c r="A7" t="str">
        <f>+KT!A9</f>
        <v>Kommandowagen</v>
      </c>
      <c r="B7" s="140">
        <f>D7*G7/100*$A$27</f>
        <v>0</v>
      </c>
      <c r="C7" s="121">
        <f>(D7-E7)*G7*$B$26/100</f>
        <v>1141.8936410012791</v>
      </c>
      <c r="D7" s="141">
        <f>G19</f>
        <v>10946</v>
      </c>
      <c r="E7">
        <f>+KT!H9*5*2</f>
        <v>110</v>
      </c>
      <c r="F7" s="121">
        <f>+E7/100*G7*$B$26</f>
        <v>11.591758998720994</v>
      </c>
      <c r="G7" s="142">
        <f>G23</f>
        <v>8.9304768865338939</v>
      </c>
    </row>
    <row r="8" spans="1:7">
      <c r="A8" t="str">
        <f>+KT!A12</f>
        <v>Löschgruppenfahrzeug LF 16 TS</v>
      </c>
      <c r="B8" s="140">
        <f>D8*G8/100*$A$27</f>
        <v>0</v>
      </c>
      <c r="C8" s="121">
        <f>(D8-E8)*G8*$B$26/100</f>
        <v>372.86976675951718</v>
      </c>
      <c r="D8" s="141">
        <f>H19</f>
        <v>1077</v>
      </c>
      <c r="E8">
        <f>+KT!H12*5*2</f>
        <v>40</v>
      </c>
      <c r="F8" s="121">
        <f>+E8/100*G8*$B$26</f>
        <v>14.382633240482821</v>
      </c>
      <c r="G8" s="142">
        <f>H23</f>
        <v>30.471680594243267</v>
      </c>
    </row>
    <row r="9" spans="1:7">
      <c r="A9" t="str">
        <f>+KT!A13</f>
        <v>Löschgruppenfahrzeug LF 20</v>
      </c>
      <c r="B9" s="140"/>
      <c r="C9" s="121"/>
      <c r="E9">
        <f>+KT!H13*5*2</f>
        <v>500</v>
      </c>
      <c r="F9" s="121"/>
      <c r="G9" s="142"/>
    </row>
    <row r="10" spans="1:7">
      <c r="A10" t="str">
        <f>+KT!A14</f>
        <v>Mannschaftstransportfahrzeug</v>
      </c>
      <c r="B10" s="140">
        <f>D10*G10/100*$A$27</f>
        <v>0</v>
      </c>
      <c r="C10" s="121">
        <f>(D10-E10)*G10*$B$26/100</f>
        <v>3003.9404292916834</v>
      </c>
      <c r="D10" s="141">
        <f>E19</f>
        <v>24614</v>
      </c>
      <c r="E10">
        <f>+KT!H14*5*2</f>
        <v>330</v>
      </c>
      <c r="F10" s="121">
        <f>+E10/100*G10*$B$26</f>
        <v>40.821130854317879</v>
      </c>
      <c r="G10" s="142">
        <f>E24</f>
        <v>10.483084451545425</v>
      </c>
    </row>
    <row r="11" spans="1:7">
      <c r="A11" t="str">
        <f>+KT!A15</f>
        <v>Rüstwagen</v>
      </c>
      <c r="B11" s="140"/>
      <c r="C11" s="121"/>
      <c r="E11">
        <f>+KT!H15*5*2</f>
        <v>550</v>
      </c>
      <c r="F11" s="121"/>
      <c r="G11" s="140"/>
    </row>
    <row r="12" spans="1:7">
      <c r="A12" t="str">
        <f>+KT!A16</f>
        <v>Teleskopmast</v>
      </c>
      <c r="B12" s="140"/>
      <c r="C12" s="121"/>
      <c r="E12">
        <f>+KT!H16*5*2</f>
        <v>510</v>
      </c>
      <c r="F12" s="121"/>
      <c r="G12" s="140"/>
    </row>
    <row r="13" spans="1:7">
      <c r="A13" t="str">
        <f>+KT!A17</f>
        <v>Wechselladerfahrzeug</v>
      </c>
      <c r="B13" s="140"/>
      <c r="C13" s="121"/>
      <c r="E13">
        <f>+KT!H17*5*2</f>
        <v>240</v>
      </c>
      <c r="F13" s="121"/>
      <c r="G13" s="140"/>
    </row>
    <row r="14" spans="1:7">
      <c r="C14" s="122">
        <f>SUM(C2:C13)</f>
        <v>5488.5603587639953</v>
      </c>
      <c r="E14" s="13"/>
      <c r="F14" s="13"/>
      <c r="G14" s="140"/>
    </row>
    <row r="17" spans="1:8">
      <c r="A17" s="225">
        <v>2015</v>
      </c>
      <c r="B17" s="137" t="s">
        <v>472</v>
      </c>
      <c r="C17" s="137" t="s">
        <v>473</v>
      </c>
      <c r="D17" s="137" t="s">
        <v>476</v>
      </c>
      <c r="E17" s="137" t="s">
        <v>486</v>
      </c>
      <c r="F17" s="137" t="s">
        <v>474</v>
      </c>
      <c r="G17" s="137" t="s">
        <v>475</v>
      </c>
      <c r="H17" s="137" t="s">
        <v>505</v>
      </c>
    </row>
    <row r="18" spans="1:8">
      <c r="A18" s="226"/>
      <c r="B18" s="136" t="s">
        <v>477</v>
      </c>
      <c r="C18" s="136" t="s">
        <v>478</v>
      </c>
      <c r="D18" s="136" t="s">
        <v>480</v>
      </c>
      <c r="E18" s="136" t="s">
        <v>487</v>
      </c>
      <c r="F18" s="136" t="s">
        <v>479</v>
      </c>
      <c r="G18" s="136" t="s">
        <v>46</v>
      </c>
      <c r="H18" s="136" t="s">
        <v>131</v>
      </c>
    </row>
    <row r="19" spans="1:8">
      <c r="A19" s="138" t="s">
        <v>481</v>
      </c>
      <c r="B19" s="139">
        <v>6770</v>
      </c>
      <c r="C19" s="139">
        <v>11175</v>
      </c>
      <c r="D19" s="139">
        <v>6669</v>
      </c>
      <c r="E19" s="139">
        <f>SUM(B19:D19)</f>
        <v>24614</v>
      </c>
      <c r="F19" s="139">
        <v>5983</v>
      </c>
      <c r="G19" s="139">
        <v>10946</v>
      </c>
      <c r="H19" s="139">
        <v>1077</v>
      </c>
    </row>
    <row r="20" spans="1:8">
      <c r="A20" s="138" t="s">
        <v>482</v>
      </c>
      <c r="B20" s="139">
        <v>790.63</v>
      </c>
      <c r="C20" s="139">
        <v>1293.8399999999999</v>
      </c>
      <c r="D20" s="139">
        <v>546.38</v>
      </c>
      <c r="E20" s="139">
        <f>SUM(B20:D20)</f>
        <v>2630.85</v>
      </c>
      <c r="F20" s="139">
        <v>1034.6099999999999</v>
      </c>
      <c r="G20" s="139">
        <v>977.53</v>
      </c>
      <c r="H20" s="139">
        <v>328.18</v>
      </c>
    </row>
    <row r="21" spans="1:8">
      <c r="A21" s="144" t="s">
        <v>483</v>
      </c>
      <c r="B21" s="139">
        <v>962.9</v>
      </c>
      <c r="C21" s="139">
        <v>1516.88</v>
      </c>
      <c r="D21" s="139">
        <v>630.52</v>
      </c>
      <c r="E21" s="139">
        <f>SUM(B21:D21)</f>
        <v>3110.3</v>
      </c>
      <c r="F21" s="139">
        <v>1194.21</v>
      </c>
      <c r="G21" s="139">
        <v>1162.76</v>
      </c>
      <c r="H21" s="139">
        <v>377.39</v>
      </c>
    </row>
    <row r="22" spans="1:8">
      <c r="A22" s="144" t="s">
        <v>484</v>
      </c>
      <c r="B22" s="139">
        <f>B21/B20</f>
        <v>1.2178895311333999</v>
      </c>
      <c r="C22" s="139">
        <f t="shared" ref="C22:G22" si="0">C21/C20</f>
        <v>1.1723860755580289</v>
      </c>
      <c r="D22" s="139">
        <f>D21/D20</f>
        <v>1.1539953878253231</v>
      </c>
      <c r="E22" s="139">
        <f>E21/E20</f>
        <v>1.1822414808902066</v>
      </c>
      <c r="F22" s="139">
        <f t="shared" si="0"/>
        <v>1.1542610258938153</v>
      </c>
      <c r="G22" s="139">
        <f t="shared" si="0"/>
        <v>1.1894877906560413</v>
      </c>
      <c r="H22" s="139">
        <v>1.1499999999999999</v>
      </c>
    </row>
    <row r="23" spans="1:8">
      <c r="A23" s="144" t="s">
        <v>485</v>
      </c>
      <c r="B23" s="139">
        <f>B20/B19*100</f>
        <v>11.678434268833088</v>
      </c>
      <c r="C23" s="139">
        <f t="shared" ref="C23:H23" si="1">C20/C19*100</f>
        <v>11.577986577181207</v>
      </c>
      <c r="D23" s="139">
        <f>D20/D19*100</f>
        <v>8.1928325086219811</v>
      </c>
      <c r="E23" s="143"/>
      <c r="F23" s="139">
        <f t="shared" si="1"/>
        <v>17.292495403643652</v>
      </c>
      <c r="G23" s="139">
        <f t="shared" si="1"/>
        <v>8.9304768865338939</v>
      </c>
      <c r="H23" s="139">
        <f t="shared" si="1"/>
        <v>30.471680594243267</v>
      </c>
    </row>
    <row r="24" spans="1:8">
      <c r="A24" s="143"/>
      <c r="B24" s="143"/>
      <c r="C24" s="143"/>
      <c r="D24" s="143"/>
      <c r="E24" s="139">
        <f>AVERAGE(B23:D23)</f>
        <v>10.483084451545425</v>
      </c>
      <c r="F24" s="143"/>
      <c r="G24" s="143"/>
      <c r="H24" s="143"/>
    </row>
    <row r="26" spans="1:8">
      <c r="A26" s="215" t="s">
        <v>515</v>
      </c>
      <c r="B26" s="216">
        <v>1.18</v>
      </c>
    </row>
    <row r="27" spans="1:8">
      <c r="A27" s="214"/>
    </row>
    <row r="30" spans="1:8" ht="15.75">
      <c r="A30" s="186" t="s">
        <v>514</v>
      </c>
    </row>
  </sheetData>
  <mergeCells count="1">
    <mergeCell ref="A17:A18"/>
  </mergeCells>
  <pageMargins left="0.31496062992125984" right="0.11811023622047245" top="1.1811023622047245" bottom="0.78740157480314965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5</vt:i4>
      </vt:variant>
    </vt:vector>
  </HeadingPairs>
  <TitlesOfParts>
    <vt:vector size="16" baseType="lpstr">
      <vt:lpstr>Legende</vt:lpstr>
      <vt:lpstr>Anlagen</vt:lpstr>
      <vt:lpstr>KA</vt:lpstr>
      <vt:lpstr>KST</vt:lpstr>
      <vt:lpstr>KT</vt:lpstr>
      <vt:lpstr>Vorlage</vt:lpstr>
      <vt:lpstr>Mengenschlüssel</vt:lpstr>
      <vt:lpstr>Indices</vt:lpstr>
      <vt:lpstr>Berechnung qm</vt:lpstr>
      <vt:lpstr>Berechnung Personal</vt:lpstr>
      <vt:lpstr>Korrektur Dieselkosten</vt:lpstr>
      <vt:lpstr>Anlagen!Druckbereich</vt:lpstr>
      <vt:lpstr>KA!Druckbereich</vt:lpstr>
      <vt:lpstr>KST!Druckbereich</vt:lpstr>
      <vt:lpstr>Legende!Druckbereich</vt:lpstr>
      <vt:lpstr>Mengenschlüssel!Druckbereich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Matthias-Magnus Dudzus</dc:creator>
  <cp:lastModifiedBy>hries</cp:lastModifiedBy>
  <cp:lastPrinted>2016-09-21T11:43:40Z</cp:lastPrinted>
  <dcterms:created xsi:type="dcterms:W3CDTF">2012-02-09T07:16:13Z</dcterms:created>
  <dcterms:modified xsi:type="dcterms:W3CDTF">2016-11-07T12:55:46Z</dcterms:modified>
</cp:coreProperties>
</file>